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99" firstSheet="18" activeTab="31"/>
  </bookViews>
  <sheets>
    <sheet name="封面 " sheetId="55" r:id="rId1"/>
    <sheet name="表6-1" sheetId="101" r:id="rId2"/>
    <sheet name="表6-2" sheetId="102" r:id="rId3"/>
    <sheet name="表7" sheetId="103" r:id="rId4"/>
    <sheet name="表8" sheetId="104" r:id="rId5"/>
    <sheet name="表9 " sheetId="105" r:id="rId6"/>
    <sheet name="表14-1" sheetId="112" r:id="rId7"/>
    <sheet name="表14-2" sheetId="113" r:id="rId8"/>
    <sheet name="表14-3" sheetId="114" r:id="rId9"/>
    <sheet name="表14-4" sheetId="115" r:id="rId10"/>
    <sheet name="表14-5" sheetId="116" r:id="rId11"/>
    <sheet name="表14-6" sheetId="117" r:id="rId12"/>
    <sheet name="表15-1" sheetId="118" r:id="rId13"/>
    <sheet name="表15-2" sheetId="119" r:id="rId14"/>
    <sheet name="表16" sheetId="120" r:id="rId15"/>
    <sheet name="表17-1" sheetId="121" r:id="rId16"/>
    <sheet name="表17-2" sheetId="122" r:id="rId17"/>
    <sheet name="表17-3" sheetId="123" r:id="rId18"/>
    <sheet name="表18" sheetId="124" r:id="rId19"/>
    <sheet name="表18-1" sheetId="140" r:id="rId20"/>
    <sheet name="表18-2" sheetId="139" r:id="rId21"/>
    <sheet name="表19" sheetId="125" r:id="rId22"/>
    <sheet name="表9-1" sheetId="141" r:id="rId23"/>
    <sheet name="表20-1" sheetId="126" r:id="rId24"/>
    <sheet name="表20-2" sheetId="127" r:id="rId25"/>
    <sheet name="表20-3" sheetId="128" r:id="rId26"/>
    <sheet name="表20-4 " sheetId="132" r:id="rId27"/>
    <sheet name="表20-5" sheetId="133" r:id="rId28"/>
    <sheet name="表20-6" sheetId="137" r:id="rId29"/>
    <sheet name="表20-7" sheetId="136" r:id="rId30"/>
    <sheet name="表20-8" sheetId="138" r:id="rId31"/>
    <sheet name="表21" sheetId="142" r:id="rId32"/>
  </sheets>
  <externalReferences>
    <externalReference r:id="rId33"/>
    <externalReference r:id="rId34"/>
    <externalReference r:id="rId35"/>
    <externalReference r:id="rId36"/>
  </externalReferences>
  <definedNames>
    <definedName name="_xlnm._FilterDatabase" localSheetId="7" hidden="1">'表14-2'!$A$5:$L$1252</definedName>
    <definedName name="_xlnm._FilterDatabase" localSheetId="9" hidden="1">'表14-4'!$A$5:$I$211</definedName>
    <definedName name="_xlnm._FilterDatabase" localSheetId="12" hidden="1">'表15-1'!$A$1:$AO$8</definedName>
    <definedName name="_xlnm._FilterDatabase" localSheetId="15" hidden="1">'表17-1'!$A$7:$H$260</definedName>
    <definedName name="地区名称">#REF!</definedName>
    <definedName name="Database" hidden="1">#REF!</definedName>
    <definedName name="地区名称" localSheetId="0">[1]封面!$B$2:$B$5</definedName>
    <definedName name="地区名称" localSheetId="1">[1]封面!$B$2:$B$5</definedName>
    <definedName name="Database" localSheetId="1" hidden="1">#REF!</definedName>
    <definedName name="地区名称" localSheetId="2">[1]封面!$B$2:$B$5</definedName>
    <definedName name="Database" localSheetId="2" hidden="1">#REF!</definedName>
    <definedName name="地区名称" localSheetId="3">[1]封面!$B$2:$B$5</definedName>
    <definedName name="Database" localSheetId="3" hidden="1">#REF!</definedName>
    <definedName name="地区名称" localSheetId="4">[1]封面!$B$2:$B$5</definedName>
    <definedName name="Database" localSheetId="4" hidden="1">#REF!</definedName>
    <definedName name="地区名称" localSheetId="5">[1]封面!$B$2:$B$5</definedName>
    <definedName name="Database" localSheetId="5" hidden="1">#REF!</definedName>
    <definedName name="_xlnm.Print_Titles" localSheetId="6">'表14-1'!$2:$5</definedName>
    <definedName name="地区名称" localSheetId="6">#REF!</definedName>
    <definedName name="Database" localSheetId="6" hidden="1">#REF!</definedName>
    <definedName name="地区名称" localSheetId="7">[2]封面!$B$2:$B$6</definedName>
    <definedName name="_xlnm.Print_Titles" localSheetId="7">'表14-2'!$2:$5</definedName>
    <definedName name="Database" localSheetId="7" hidden="1">#REF!</definedName>
    <definedName name="_xlnm.Print_Area" localSheetId="7">'表14-2'!$A$1:$H$1250</definedName>
    <definedName name="_xlnm.Print_Titles" localSheetId="8">'表14-3'!$2:$6</definedName>
    <definedName name="地区名称" localSheetId="8">#REF!</definedName>
    <definedName name="Database" localSheetId="8" hidden="1">#REF!</definedName>
    <definedName name="_xlnm.Print_Titles" localSheetId="9">'表14-4'!$1:$5</definedName>
    <definedName name="地区名称" localSheetId="9">#REF!</definedName>
    <definedName name="Database" localSheetId="9" hidden="1">#REF!</definedName>
    <definedName name="地区名称" localSheetId="10">#REF!</definedName>
    <definedName name="Database" localSheetId="10" hidden="1">#REF!</definedName>
    <definedName name="地区名称" localSheetId="11">#REF!</definedName>
    <definedName name="Database" localSheetId="11" hidden="1">#REF!</definedName>
    <definedName name="_xlnm.Print_Titles" localSheetId="12">'表15-1'!$A:$A</definedName>
    <definedName name="地区名称" localSheetId="12">#REF!</definedName>
    <definedName name="Database" localSheetId="12" hidden="1">#REF!</definedName>
    <definedName name="_xlnm.Print_Titles" localSheetId="13">'表15-2'!$A:$A</definedName>
    <definedName name="地区名称" localSheetId="13">#REF!</definedName>
    <definedName name="Database" localSheetId="13" hidden="1">#REF!</definedName>
    <definedName name="地区名称" localSheetId="14">#REF!</definedName>
    <definedName name="Database" localSheetId="14" hidden="1">#REF!</definedName>
    <definedName name="_xlnm.Print_Titles" localSheetId="15">'表17-1'!$2:$6</definedName>
    <definedName name="地区名称" localSheetId="15">#REF!</definedName>
    <definedName name="Database" localSheetId="15" hidden="1">#REF!</definedName>
    <definedName name="_xlnm.Print_Titles" localSheetId="16">'表17-2'!$1:$5</definedName>
    <definedName name="地区名称" localSheetId="16">#REF!</definedName>
    <definedName name="Database" localSheetId="16" hidden="1">#REF!</definedName>
    <definedName name="地区名称" localSheetId="17">#REF!</definedName>
    <definedName name="Database" localSheetId="17" hidden="1">#REF!</definedName>
    <definedName name="地区名称" localSheetId="18">[3]封面!$B$2:$B$5</definedName>
    <definedName name="Database" localSheetId="18" hidden="1">#REF!</definedName>
    <definedName name="地区名称" localSheetId="21">[3]封面!$B$2:$B$5</definedName>
    <definedName name="Database" localSheetId="21" hidden="1">#REF!</definedName>
    <definedName name="地区名称" localSheetId="23">#REF!</definedName>
    <definedName name="Database" localSheetId="23" hidden="1">#REF!</definedName>
    <definedName name="_xlnm.Print_Area" localSheetId="23">'表20-1'!$A$1:$I$6</definedName>
    <definedName name="地区名称" localSheetId="24">#REF!</definedName>
    <definedName name="Database" localSheetId="24" hidden="1">#REF!</definedName>
    <definedName name="_xlnm.Print_Area" localSheetId="24">'表20-2'!$A$1:$O$8</definedName>
    <definedName name="地区名称" localSheetId="25">#REF!</definedName>
    <definedName name="Database" localSheetId="25" hidden="1">#REF!</definedName>
    <definedName name="地区名称" localSheetId="26">#REF!</definedName>
    <definedName name="Database" localSheetId="26" hidden="1">#REF!</definedName>
    <definedName name="地区名称" localSheetId="27">#REF!</definedName>
    <definedName name="Database" localSheetId="27" hidden="1">#REF!</definedName>
    <definedName name="地区名称" localSheetId="29">#REF!</definedName>
    <definedName name="Database" localSheetId="29" hidden="1">#REF!</definedName>
    <definedName name="地区名称" localSheetId="28">#REF!</definedName>
    <definedName name="Database" localSheetId="28" hidden="1">#REF!</definedName>
    <definedName name="地区名称" localSheetId="30">#REF!</definedName>
    <definedName name="Database" localSheetId="30" hidden="1">#REF!</definedName>
  </definedNames>
  <calcPr calcId="144525"/>
</workbook>
</file>

<file path=xl/sharedStrings.xml><?xml version="1.0" encoding="utf-8"?>
<sst xmlns="http://schemas.openxmlformats.org/spreadsheetml/2006/main" count="4166" uniqueCount="2268">
  <si>
    <t xml:space="preserve">
2024年全市及市本级预算收支安排情况表格</t>
  </si>
  <si>
    <t>表6-1</t>
  </si>
  <si>
    <t>2024年全市一般公共预算收支安排表</t>
  </si>
  <si>
    <t>单位：万元</t>
  </si>
  <si>
    <t>项          目</t>
  </si>
  <si>
    <t>全市</t>
  </si>
  <si>
    <t>市本级</t>
  </si>
  <si>
    <t>原州区</t>
  </si>
  <si>
    <t>西吉县</t>
  </si>
  <si>
    <t>隆德县</t>
  </si>
  <si>
    <t>泾源县</t>
  </si>
  <si>
    <t>彭阳县</t>
  </si>
  <si>
    <t>2023年完成数</t>
  </si>
  <si>
    <t>2024年预算数</t>
  </si>
  <si>
    <t>同比增长（%）</t>
  </si>
  <si>
    <t>一、税收收入</t>
  </si>
  <si>
    <t>一、一般公共服务支出</t>
  </si>
  <si>
    <t xml:space="preserve">       增值税</t>
  </si>
  <si>
    <t>二、外交支出</t>
  </si>
  <si>
    <t xml:space="preserve">       消费税</t>
  </si>
  <si>
    <t>三、国防支出</t>
  </si>
  <si>
    <t xml:space="preserve">       企业所得税</t>
  </si>
  <si>
    <t>四、公共安全支出</t>
  </si>
  <si>
    <t xml:space="preserve">       企业所得税退税</t>
  </si>
  <si>
    <t>五、教育支出</t>
  </si>
  <si>
    <t xml:space="preserve">       个人所得税</t>
  </si>
  <si>
    <t>六、科学技术支出</t>
  </si>
  <si>
    <t xml:space="preserve">       资源税</t>
  </si>
  <si>
    <t>七、文化旅游体育与传媒支出</t>
  </si>
  <si>
    <t xml:space="preserve">       城市维护建设税</t>
  </si>
  <si>
    <t>八、社会保障和就业支出</t>
  </si>
  <si>
    <t xml:space="preserve">       房产税</t>
  </si>
  <si>
    <t>九、卫生健康支出</t>
  </si>
  <si>
    <t xml:space="preserve">       印花税</t>
  </si>
  <si>
    <t>十、节能环保支出</t>
  </si>
  <si>
    <t xml:space="preserve">       城镇土地使用税</t>
  </si>
  <si>
    <t>十一、城乡社区支出</t>
  </si>
  <si>
    <t>增加1800</t>
  </si>
  <si>
    <t xml:space="preserve">       土地增值税</t>
  </si>
  <si>
    <t>十二、农林水支出</t>
  </si>
  <si>
    <t xml:space="preserve">       车船税</t>
  </si>
  <si>
    <t>十三、交通运输支出</t>
  </si>
  <si>
    <t xml:space="preserve">       耕地占用税</t>
  </si>
  <si>
    <t>十四、资源勘探工业信息等支出</t>
  </si>
  <si>
    <t xml:space="preserve">       契税</t>
  </si>
  <si>
    <t>十五、商业服务业等支出</t>
  </si>
  <si>
    <t xml:space="preserve">       烟叶税</t>
  </si>
  <si>
    <t>十六、金融支出</t>
  </si>
  <si>
    <t xml:space="preserve">       环境保护税</t>
  </si>
  <si>
    <t>十七、援助其他地区支出</t>
  </si>
  <si>
    <t xml:space="preserve">       其他税收收入</t>
  </si>
  <si>
    <t>十八、自然资源海洋气象等支出</t>
  </si>
  <si>
    <t>二、非税收入</t>
  </si>
  <si>
    <t>十九、住房保障支出</t>
  </si>
  <si>
    <t xml:space="preserve">       专项收入</t>
  </si>
  <si>
    <t>二十、粮油物资储备支出</t>
  </si>
  <si>
    <t xml:space="preserve">       行政事业性收费收入</t>
  </si>
  <si>
    <t>二十一、灾害防治及应急管理支出</t>
  </si>
  <si>
    <t xml:space="preserve">       罚没收入</t>
  </si>
  <si>
    <t>二十二、预备费</t>
  </si>
  <si>
    <t xml:space="preserve">       国有资本经营收入</t>
  </si>
  <si>
    <t>二十三、其他支出</t>
  </si>
  <si>
    <t xml:space="preserve">       国有资源(资产)有偿使用收入</t>
  </si>
  <si>
    <t>二十四、债务付息支出</t>
  </si>
  <si>
    <t xml:space="preserve">       捐赠收入</t>
  </si>
  <si>
    <t xml:space="preserve">       政府住房基金收入</t>
  </si>
  <si>
    <t xml:space="preserve">       其他收入</t>
  </si>
  <si>
    <t>收入总计</t>
  </si>
  <si>
    <t>支出总计</t>
  </si>
  <si>
    <t>注：剔除上年度一次性非税收入因素后，预计全市地方一般公共预算收入增长5%左右。</t>
  </si>
  <si>
    <t>表6-2</t>
  </si>
  <si>
    <t>2024年全市一般公共预算收支平衡表</t>
  </si>
  <si>
    <r>
      <rPr>
        <b/>
        <sz val="12"/>
        <rFont val="宋体"/>
        <charset val="134"/>
      </rPr>
      <t>收</t>
    </r>
    <r>
      <rPr>
        <b/>
        <sz val="12"/>
        <rFont val="宋体"/>
        <charset val="0"/>
      </rPr>
      <t xml:space="preserve">                          </t>
    </r>
    <r>
      <rPr>
        <b/>
        <sz val="12"/>
        <rFont val="宋体"/>
        <charset val="134"/>
      </rPr>
      <t>入</t>
    </r>
  </si>
  <si>
    <t>支                          出</t>
  </si>
  <si>
    <r>
      <rPr>
        <b/>
        <sz val="12"/>
        <rFont val="宋体"/>
        <charset val="134"/>
      </rPr>
      <t>项</t>
    </r>
    <r>
      <rPr>
        <b/>
        <sz val="12"/>
        <rFont val="宋体"/>
        <charset val="0"/>
      </rPr>
      <t xml:space="preserve">          </t>
    </r>
    <r>
      <rPr>
        <b/>
        <sz val="12"/>
        <rFont val="宋体"/>
        <charset val="134"/>
      </rPr>
      <t>目</t>
    </r>
  </si>
  <si>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</si>
  <si>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</si>
  <si>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</si>
  <si>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</si>
  <si>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</si>
  <si>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</si>
  <si>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</si>
  <si>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</si>
  <si>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</si>
  <si>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</si>
  <si>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</si>
  <si>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</si>
  <si>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</si>
  <si>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</si>
  <si>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</si>
  <si>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</si>
  <si>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</si>
  <si>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</si>
  <si>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</si>
  <si>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</si>
  <si>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</si>
  <si>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</si>
  <si>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</si>
  <si>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</si>
  <si>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</si>
  <si>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</si>
  <si>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</si>
  <si>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</si>
  <si>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</si>
  <si>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</si>
  <si>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</si>
  <si>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</si>
  <si>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</si>
  <si>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</si>
  <si>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</si>
  <si>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</si>
  <si>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</si>
  <si>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</si>
  <si>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</si>
  <si>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</si>
  <si>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</si>
  <si>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</si>
  <si>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</si>
  <si>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</si>
  <si>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</si>
  <si>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</si>
  <si>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</si>
  <si>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</si>
  <si>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</si>
  <si>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</si>
  <si>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</si>
  <si>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</si>
  <si>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</si>
  <si>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</si>
  <si>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</si>
  <si>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</si>
  <si>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</si>
  <si>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</si>
  <si>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</si>
  <si>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</si>
  <si>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</si>
  <si>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</si>
  <si>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</si>
  <si>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</si>
  <si>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</si>
  <si>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</si>
  <si>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</si>
  <si>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</si>
  <si>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</si>
  <si>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</si>
  <si>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</si>
  <si>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</si>
  <si>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</si>
  <si>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</si>
  <si>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上解收入</t>
  </si>
  <si>
    <t xml:space="preserve">    体制上解收入</t>
  </si>
  <si>
    <t xml:space="preserve">    专项上解收入</t>
  </si>
  <si>
    <t xml:space="preserve">  上年结余收入</t>
  </si>
  <si>
    <t xml:space="preserve">  调入资金</t>
  </si>
  <si>
    <t xml:space="preserve">  补助下级支出</t>
  </si>
  <si>
    <t xml:space="preserve">    从政府性基金预算调入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</si>
  <si>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</si>
  <si>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</si>
  <si>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</si>
  <si>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</si>
  <si>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</si>
  <si>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</si>
  <si>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</si>
  <si>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</si>
  <si>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</si>
  <si>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动用预算稳定调节基金</t>
  </si>
  <si>
    <t>表7</t>
  </si>
  <si>
    <t>表2</t>
  </si>
  <si>
    <t>表2-1</t>
  </si>
  <si>
    <t>2024年全市政府性基金收支平衡表</t>
  </si>
  <si>
    <t>2024年市本级政府性基金收支执行及预算平衡表</t>
  </si>
  <si>
    <t>2024年原州区政府性基金收支执行及预算平衡表</t>
  </si>
  <si>
    <t>2024年西吉县政府性基金收支执行及预算平衡表</t>
  </si>
  <si>
    <r>
      <rPr>
        <b/>
        <sz val="18"/>
        <rFont val="宋体"/>
        <charset val="134"/>
      </rPr>
      <t>2024年</t>
    </r>
    <r>
      <rPr>
        <b/>
        <sz val="18"/>
        <color rgb="FFFF0000"/>
        <rFont val="宋体"/>
        <charset val="134"/>
      </rPr>
      <t>隆德</t>
    </r>
    <r>
      <rPr>
        <b/>
        <sz val="18"/>
        <rFont val="宋体"/>
        <charset val="134"/>
      </rPr>
      <t>县政府性基金收支执行及预算平衡表</t>
    </r>
  </si>
  <si>
    <r>
      <rPr>
        <sz val="18"/>
        <rFont val="方正小标宋简体"/>
        <charset val="134"/>
      </rPr>
      <t>2024年</t>
    </r>
    <r>
      <rPr>
        <sz val="18"/>
        <color rgb="FFFF0000"/>
        <rFont val="方正小标宋简体"/>
        <charset val="134"/>
      </rPr>
      <t>泾源</t>
    </r>
    <r>
      <rPr>
        <sz val="18"/>
        <rFont val="方正小标宋简体"/>
        <charset val="134"/>
      </rPr>
      <t>县政府性基金收支执行及预算平衡表</t>
    </r>
  </si>
  <si>
    <t>2024年彭阳县政府性基金收支执行及预算平衡表</t>
  </si>
  <si>
    <t>收                          入</t>
  </si>
  <si>
    <t>2023年预算数</t>
  </si>
  <si>
    <t>一、农业土地开发资金收入</t>
  </si>
  <si>
    <t>一、文化旅游体育与传媒支出</t>
  </si>
  <si>
    <t>二、国有土地使用权出让收入</t>
  </si>
  <si>
    <t>二、社会保障和就业支出</t>
  </si>
  <si>
    <t>三、污水处理费收入</t>
  </si>
  <si>
    <t>三、节能环保支出</t>
  </si>
  <si>
    <t>四、城乡社区支出</t>
  </si>
  <si>
    <t>四、污水处理费收入</t>
  </si>
  <si>
    <t>四、彩票发行机构和彩票销售机构的业务费用</t>
  </si>
  <si>
    <t xml:space="preserve">    国有土地使用权出让收入安排的支出</t>
  </si>
  <si>
    <t>五、彩票发行机构和彩票销售机构的业务费用</t>
  </si>
  <si>
    <t>五、其他政府性基金收入</t>
  </si>
  <si>
    <t xml:space="preserve">    农业土地开发资金安排的支出</t>
  </si>
  <si>
    <t>六、其他政府性基金收入</t>
  </si>
  <si>
    <t>六、专项债务对应项目专项收入</t>
  </si>
  <si>
    <t xml:space="preserve">    城市基础设施配套费安排的支出</t>
  </si>
  <si>
    <t>七、专项债务对应项目专项收入</t>
  </si>
  <si>
    <t xml:space="preserve">    污水处理费收入安排的支出</t>
  </si>
  <si>
    <t>五、农林水支出</t>
  </si>
  <si>
    <t>六、交通运输支出</t>
  </si>
  <si>
    <t>七、资源勘探工业信息等支出</t>
  </si>
  <si>
    <t>八、其他支出</t>
  </si>
  <si>
    <t>九、债务付息支出</t>
  </si>
  <si>
    <t>十、抗疫特别国债安排的支出</t>
  </si>
  <si>
    <t>十、上年结余安排支出</t>
  </si>
  <si>
    <t>收入合计</t>
  </si>
  <si>
    <t>支出合计</t>
  </si>
  <si>
    <t xml:space="preserve">  转移性收入</t>
  </si>
  <si>
    <t xml:space="preserve">  转移性支出</t>
  </si>
  <si>
    <t xml:space="preserve">    政府性基金补助收入</t>
  </si>
  <si>
    <t xml:space="preserve">    政府性基金补助支出</t>
  </si>
  <si>
    <t xml:space="preserve">    上年结余收入</t>
  </si>
  <si>
    <t xml:space="preserve">    调出资金</t>
  </si>
  <si>
    <t xml:space="preserve">    调入资金</t>
  </si>
  <si>
    <t xml:space="preserve">    年终结余（转）</t>
  </si>
  <si>
    <t xml:space="preserve">  债务收入</t>
  </si>
  <si>
    <t xml:space="preserve">  债务支出</t>
  </si>
  <si>
    <t xml:space="preserve">    地方政府专项债务收入</t>
  </si>
  <si>
    <t xml:space="preserve">    地方政府专项债务还本支出</t>
  </si>
  <si>
    <t xml:space="preserve">  债务转贷收入</t>
  </si>
  <si>
    <t>收入总计　</t>
  </si>
  <si>
    <t>表8</t>
  </si>
  <si>
    <t>2024年全市国有资本经营预算收支表</t>
  </si>
  <si>
    <r>
      <rPr>
        <b/>
        <sz val="14"/>
        <rFont val="宋体"/>
        <charset val="134"/>
      </rPr>
      <t>收</t>
    </r>
    <r>
      <rPr>
        <b/>
        <sz val="14"/>
        <rFont val="Times New Roman"/>
        <charset val="0"/>
      </rPr>
      <t xml:space="preserve">                          </t>
    </r>
    <r>
      <rPr>
        <b/>
        <sz val="14"/>
        <rFont val="宋体"/>
        <charset val="134"/>
      </rPr>
      <t>入</t>
    </r>
  </si>
  <si>
    <r>
      <rPr>
        <b/>
        <sz val="14"/>
        <rFont val="宋体"/>
        <charset val="134"/>
      </rPr>
      <t>支</t>
    </r>
    <r>
      <rPr>
        <b/>
        <sz val="14"/>
        <rFont val="Times New Roman"/>
        <charset val="0"/>
      </rPr>
      <t xml:space="preserve">                          </t>
    </r>
    <r>
      <rPr>
        <b/>
        <sz val="14"/>
        <rFont val="宋体"/>
        <charset val="134"/>
      </rPr>
      <t>出</t>
    </r>
  </si>
  <si>
    <r>
      <rPr>
        <b/>
        <sz val="12"/>
        <rFont val="宋体"/>
        <charset val="134"/>
      </rPr>
      <t>项</t>
    </r>
    <r>
      <rPr>
        <b/>
        <sz val="12"/>
        <rFont val="Times New Roman"/>
        <charset val="0"/>
      </rPr>
      <t xml:space="preserve">          </t>
    </r>
    <r>
      <rPr>
        <b/>
        <sz val="12"/>
        <rFont val="宋体"/>
        <charset val="134"/>
      </rPr>
      <t>目</t>
    </r>
  </si>
  <si>
    <t>一、利润收入</t>
  </si>
  <si>
    <t>一、解决历史遗留问题及改革成本支出</t>
  </si>
  <si>
    <t>二、股利、股息收入</t>
  </si>
  <si>
    <t>二、国有企业资本金注入</t>
  </si>
  <si>
    <t>三、产权转让收入</t>
  </si>
  <si>
    <t>三、国有企业政策性补贴</t>
  </si>
  <si>
    <t>四、清算收入</t>
  </si>
  <si>
    <t>四、其他国有资本经营预算支出</t>
  </si>
  <si>
    <t>五、其他国有资本经营预算收入</t>
  </si>
  <si>
    <t>本年收入合计</t>
  </si>
  <si>
    <t>本年支出合计</t>
  </si>
  <si>
    <t>国有资本经营预算转移支付收入</t>
  </si>
  <si>
    <t>国有资本经营预算转移支付支出</t>
  </si>
  <si>
    <t>国有资本经营预算上解收入</t>
  </si>
  <si>
    <t>国有资本经营预算上解支出</t>
  </si>
  <si>
    <t>国有资本经营预算上年结余收入</t>
  </si>
  <si>
    <t>国有资本经营预算调出资金</t>
  </si>
  <si>
    <t>国有资本经营预算年终结余</t>
  </si>
  <si>
    <t>支 出 总 计</t>
  </si>
  <si>
    <t>表9</t>
  </si>
  <si>
    <t>2024年全市社会保险基金收支表</t>
  </si>
  <si>
    <t>收        入</t>
  </si>
  <si>
    <t>支        出</t>
  </si>
  <si>
    <t>项     目</t>
  </si>
  <si>
    <t>彭阳</t>
  </si>
  <si>
    <t>项      目</t>
  </si>
  <si>
    <t>一、企业职工基本养老保险基金</t>
  </si>
  <si>
    <t>二、城乡居民基本养老保险基金</t>
  </si>
  <si>
    <t>三、机关事业单位基本养老保险基金</t>
  </si>
  <si>
    <t>四、职工基本医疗保险（含生育保险）基金</t>
  </si>
  <si>
    <t>五、城乡居民基本医疗保险基金收入</t>
  </si>
  <si>
    <t>五、城乡居民基本医疗保险基金</t>
  </si>
  <si>
    <t>六、工伤保险基金</t>
  </si>
  <si>
    <t>七、失业保险基金</t>
  </si>
  <si>
    <t>上年结余收入</t>
  </si>
  <si>
    <t>年终结余</t>
  </si>
  <si>
    <t>上级补助收入</t>
  </si>
  <si>
    <t>上解上级支出</t>
  </si>
  <si>
    <t>表14-1</t>
  </si>
  <si>
    <t>2024年市本级一般公共预算收入安排表</t>
  </si>
  <si>
    <t>项目</t>
  </si>
  <si>
    <t>上年预算数</t>
  </si>
  <si>
    <t>上年执行数</t>
  </si>
  <si>
    <t>预算数</t>
  </si>
  <si>
    <t>代码</t>
  </si>
  <si>
    <t>名称</t>
  </si>
  <si>
    <t>金额</t>
  </si>
  <si>
    <t>为上年预算数的%</t>
  </si>
  <si>
    <t>为上年执行数的%</t>
  </si>
  <si>
    <t xml:space="preserve">  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</si>
  <si>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</si>
  <si>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</si>
  <si>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</si>
  <si>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</si>
  <si>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</si>
  <si>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</si>
  <si>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</si>
  <si>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</si>
  <si>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</si>
  <si>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</si>
  <si>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</si>
  <si>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</si>
  <si>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</si>
  <si>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</si>
  <si>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</si>
  <si>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</si>
  <si>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</si>
  <si>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</si>
  <si>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</si>
  <si>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</si>
  <si>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</si>
  <si>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</si>
  <si>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</si>
  <si>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</si>
  <si>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</si>
  <si>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注：剔除上年度一次性非税收入因素后，预计市本级地方一般公共预算收入增长5%左右。</t>
  </si>
  <si>
    <t>表14-2</t>
  </si>
  <si>
    <t>2024年市本级一般公共预算支出表</t>
  </si>
  <si>
    <t>提前下达</t>
  </si>
  <si>
    <t>上年结余</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</si>
  <si>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</si>
  <si>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</si>
  <si>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</si>
  <si>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</si>
  <si>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</si>
  <si>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</si>
  <si>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</si>
  <si>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</si>
  <si>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</si>
  <si>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</si>
  <si>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</si>
  <si>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</si>
  <si>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</si>
  <si>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</si>
  <si>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</si>
  <si>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</si>
  <si>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</si>
  <si>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</si>
  <si>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</si>
  <si>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</si>
  <si>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</si>
  <si>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</si>
  <si>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</si>
  <si>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</si>
  <si>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</si>
  <si>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</si>
  <si>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</si>
  <si>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</si>
  <si>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</si>
  <si>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</si>
  <si>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</si>
  <si>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</si>
  <si>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</si>
  <si>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</si>
  <si>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</si>
  <si>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</si>
  <si>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</si>
  <si>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</si>
  <si>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</si>
  <si>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</si>
  <si>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</si>
  <si>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</si>
  <si>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</si>
  <si>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</si>
  <si>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</si>
  <si>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</si>
  <si>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</si>
  <si>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</si>
  <si>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</si>
  <si>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</si>
  <si>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自治区财政厅关于提前下达2024年中央对地方审计专项补助经费预算指标的通知</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</si>
  <si>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</si>
  <si>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</si>
  <si>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</si>
  <si>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</si>
  <si>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</si>
  <si>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</si>
  <si>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</si>
  <si>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</si>
  <si>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</si>
  <si>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</si>
  <si>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</si>
  <si>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</si>
  <si>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</si>
  <si>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</si>
  <si>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</si>
  <si>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</si>
  <si>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</si>
  <si>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</si>
  <si>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</si>
  <si>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</si>
  <si>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</si>
  <si>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</si>
  <si>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</si>
  <si>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</si>
  <si>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</si>
  <si>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</si>
  <si>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</si>
  <si>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</si>
  <si>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</si>
  <si>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</si>
  <si>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</si>
  <si>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</si>
  <si>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</si>
  <si>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</si>
  <si>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</si>
  <si>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</si>
  <si>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</si>
  <si>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</si>
  <si>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</si>
  <si>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</si>
  <si>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</si>
  <si>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</si>
  <si>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</si>
  <si>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</si>
  <si>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</si>
  <si>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</si>
  <si>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</si>
  <si>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</si>
  <si>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</si>
  <si>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</si>
  <si>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</si>
  <si>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</si>
  <si>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</si>
  <si>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</si>
  <si>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</si>
  <si>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</si>
  <si>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</si>
  <si>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</si>
  <si>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自治区财政厅关于提前下达2024年华侨事务经费预算指标的通知</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</si>
  <si>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</si>
  <si>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</si>
  <si>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</si>
  <si>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</si>
  <si>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</si>
  <si>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</si>
  <si>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</si>
  <si>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</si>
  <si>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</si>
  <si>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</si>
  <si>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</si>
  <si>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自治区财政厅关于提前下达2024年反垄断工作经费预算的通知</t>
  </si>
  <si>
    <t xml:space="preserve">      质量基础</t>
  </si>
  <si>
    <t xml:space="preserve">      药品事务</t>
  </si>
  <si>
    <t>自治区财政厅关于提前下达2024年自治区药品监管有关补助资金预算的通知</t>
  </si>
  <si>
    <t xml:space="preserve">      医疗器械事务</t>
  </si>
  <si>
    <t xml:space="preserve">      化妆品事务</t>
  </si>
  <si>
    <t xml:space="preserve">      质量安全监管</t>
  </si>
  <si>
    <t xml:space="preserve">      食品安全监管</t>
  </si>
  <si>
    <t>自治区财政厅关于提前下达2024年中央食品药品监管补助资金预算的通知</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</si>
  <si>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</si>
  <si>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</si>
  <si>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</si>
  <si>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</si>
  <si>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</si>
  <si>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</si>
  <si>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</si>
  <si>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</si>
  <si>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</si>
  <si>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</si>
  <si>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</si>
  <si>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</si>
  <si>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</si>
  <si>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</si>
  <si>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</si>
  <si>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</si>
  <si>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</si>
  <si>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</si>
  <si>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武装警察部队</t>
  </si>
  <si>
    <t xml:space="preserve">      武装警察部队</t>
  </si>
  <si>
    <t xml:space="preserve">      其他武装警察部队支出</t>
  </si>
  <si>
    <t xml:space="preserve">    公安</t>
  </si>
  <si>
    <t>自治区财政厅关于提前下达2024年公安交通安全管理专项资金预算指标的通知</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</si>
  <si>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</si>
  <si>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</si>
  <si>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</si>
  <si>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</si>
  <si>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</si>
  <si>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</si>
  <si>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</si>
  <si>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</si>
  <si>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</si>
  <si>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</si>
  <si>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</si>
  <si>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</si>
  <si>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</si>
  <si>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</si>
  <si>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</si>
  <si>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</si>
  <si>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</si>
  <si>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</si>
  <si>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</si>
  <si>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</si>
  <si>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</si>
  <si>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</si>
  <si>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</si>
  <si>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</si>
  <si>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</si>
  <si>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</si>
  <si>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</si>
  <si>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</si>
  <si>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</si>
  <si>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</si>
  <si>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</si>
  <si>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</si>
  <si>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</si>
  <si>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</si>
  <si>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</si>
  <si>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</si>
  <si>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</si>
  <si>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</si>
  <si>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</si>
  <si>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</si>
  <si>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</si>
  <si>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</si>
  <si>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</si>
  <si>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</si>
  <si>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</si>
  <si>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</si>
  <si>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</si>
  <si>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</si>
  <si>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</si>
  <si>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自治区财政厅 自治区教育厅关于提前下达2024年部分教育项目资金（第一批）预算的通知</t>
  </si>
  <si>
    <t xml:space="preserve">    普通教育</t>
  </si>
  <si>
    <t xml:space="preserve">      学前教育</t>
  </si>
  <si>
    <t xml:space="preserve">      小学教育</t>
  </si>
  <si>
    <t xml:space="preserve">      初中教育</t>
  </si>
  <si>
    <t xml:space="preserve">      高中教育</t>
  </si>
  <si>
    <t>学生资助</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</si>
  <si>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</si>
  <si>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</si>
  <si>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</si>
  <si>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</si>
  <si>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</si>
  <si>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</si>
  <si>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</si>
  <si>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</si>
  <si>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</si>
  <si>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</si>
  <si>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</si>
  <si>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</si>
  <si>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</si>
  <si>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</si>
  <si>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</si>
  <si>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</si>
  <si>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</si>
  <si>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</si>
  <si>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</si>
  <si>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</si>
  <si>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</si>
  <si>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</si>
  <si>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</si>
  <si>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</si>
  <si>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</si>
  <si>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</si>
  <si>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</si>
  <si>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</si>
  <si>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</si>
  <si>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</si>
  <si>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</si>
  <si>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</si>
  <si>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</si>
  <si>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</si>
  <si>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</si>
  <si>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</si>
  <si>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</si>
  <si>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</si>
  <si>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</si>
  <si>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</si>
  <si>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</si>
  <si>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</si>
  <si>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</si>
  <si>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</si>
  <si>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</si>
  <si>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</si>
  <si>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</si>
  <si>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</si>
  <si>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</si>
  <si>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</si>
  <si>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</si>
  <si>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</si>
  <si>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</si>
  <si>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</si>
  <si>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</si>
  <si>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</si>
  <si>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</si>
  <si>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</si>
  <si>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</si>
  <si>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</si>
  <si>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</si>
  <si>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</si>
  <si>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</si>
  <si>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</si>
  <si>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</si>
  <si>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</si>
  <si>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</si>
  <si>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</si>
  <si>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</si>
  <si>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</si>
  <si>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</si>
  <si>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</si>
  <si>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科普</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</si>
  <si>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</si>
  <si>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</si>
  <si>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</si>
  <si>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</si>
  <si>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</si>
  <si>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</si>
  <si>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</si>
  <si>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</si>
  <si>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</si>
  <si>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</si>
  <si>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</si>
  <si>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</si>
  <si>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</si>
  <si>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</si>
  <si>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</si>
  <si>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</si>
  <si>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</si>
  <si>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</si>
  <si>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自治区财政厅关于提前下达2024年科技馆免费开放补助资金预算指标的通知</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</si>
  <si>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</si>
  <si>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</si>
  <si>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</si>
  <si>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</si>
  <si>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</si>
  <si>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</si>
  <si>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</si>
  <si>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</si>
  <si>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</si>
  <si>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自治区财政厅关于提前下达2024年中央国家非物质文化遗产保护资金、中央和自治区博物馆纪念馆免费开放补助资金预算的通知</t>
  </si>
  <si>
    <t xml:space="preserve">      文化和旅游市场管理</t>
  </si>
  <si>
    <t xml:space="preserve">      旅游宣传</t>
  </si>
  <si>
    <t xml:space="preserve">      文化和旅游管理事务</t>
  </si>
  <si>
    <t xml:space="preserve">      其他文化和旅游支出</t>
  </si>
  <si>
    <t>自治区财政厅关于提前下达2024年中央和自治区公共图书馆、美术馆、文化馆（站）免费开放补助资金预算的通知82万、自治区财政厅关于提前下达2024年中央支持地方公共文化服务体系建设补助资金预算的通知1302万</t>
  </si>
  <si>
    <t>自治区财政厅关于提前下达2024年中央支持地方公共文化服务体系建设补助资金预算的通知1022万</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</si>
  <si>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</si>
  <si>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</si>
  <si>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</si>
  <si>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</si>
  <si>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</si>
  <si>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</si>
  <si>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</si>
  <si>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</si>
  <si>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</si>
  <si>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</si>
  <si>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</si>
  <si>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</si>
  <si>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</si>
  <si>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</si>
  <si>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</si>
  <si>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</si>
  <si>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</si>
  <si>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</si>
  <si>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</si>
  <si>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</si>
  <si>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自治区财政厅关于提前下达2024年中央支持地方公共文化服务体系建设补助资金预算的通知</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</si>
  <si>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</si>
  <si>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</si>
  <si>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</si>
  <si>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</si>
  <si>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</si>
  <si>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</si>
  <si>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</si>
  <si>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</si>
  <si>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</si>
  <si>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</si>
  <si>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</si>
  <si>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</si>
  <si>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</si>
  <si>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</si>
  <si>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</si>
  <si>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</si>
  <si>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</si>
  <si>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</si>
  <si>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</si>
  <si>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</si>
  <si>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</si>
  <si>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</si>
  <si>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</si>
  <si>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</si>
  <si>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</si>
  <si>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</si>
  <si>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</si>
  <si>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</si>
  <si>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</si>
  <si>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</si>
  <si>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</si>
  <si>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</si>
  <si>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</si>
  <si>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</si>
  <si>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</si>
  <si>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</si>
  <si>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</si>
  <si>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自治区财政厅 自治区人力资源和社会保障厅关于提前下达2024年机关事业单位养老保险制度改革中央财政补助经费的通知</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</si>
  <si>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</si>
  <si>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</si>
  <si>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</si>
  <si>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</si>
  <si>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</si>
  <si>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</si>
  <si>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</si>
  <si>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</si>
  <si>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</si>
  <si>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</si>
  <si>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</si>
  <si>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</si>
  <si>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</si>
  <si>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</si>
  <si>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</si>
  <si>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</si>
  <si>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自治区财政厅 自治区人力资源和社会保障厅关于提前下达2024年中央就业补助资金预算指标的通知</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</si>
  <si>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</si>
  <si>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</si>
  <si>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</si>
  <si>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</si>
  <si>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</si>
  <si>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</si>
  <si>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</si>
  <si>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</si>
  <si>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</si>
  <si>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</si>
  <si>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</si>
  <si>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</si>
  <si>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自治区财政厅关于提前下达2024年中央退役安置补助经费预算的通知</t>
  </si>
  <si>
    <t xml:space="preserve">      军队移交政府离退休干部管理机构</t>
  </si>
  <si>
    <t xml:space="preserve">      退役士兵管理教育</t>
  </si>
  <si>
    <t xml:space="preserve">      军队转业干部安置</t>
  </si>
  <si>
    <t>自治区财政厅关于提前下达2024年中央军队转业干部补助经费预算的通知</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</si>
  <si>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</si>
  <si>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</si>
  <si>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</si>
  <si>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</si>
  <si>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</si>
  <si>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</si>
  <si>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</si>
  <si>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</si>
  <si>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</si>
  <si>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</si>
  <si>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</si>
  <si>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</si>
  <si>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</si>
  <si>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</si>
  <si>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</si>
  <si>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</si>
  <si>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</si>
  <si>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</si>
  <si>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</si>
  <si>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</si>
  <si>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</si>
  <si>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</si>
  <si>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</si>
  <si>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</si>
  <si>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</si>
  <si>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</si>
  <si>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</si>
  <si>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</si>
  <si>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</si>
  <si>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</si>
  <si>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</si>
  <si>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</si>
  <si>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</si>
  <si>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</si>
  <si>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</si>
  <si>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</si>
  <si>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</si>
  <si>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</si>
  <si>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</si>
  <si>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</si>
  <si>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</si>
  <si>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</si>
  <si>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</si>
  <si>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</si>
  <si>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</si>
  <si>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</si>
  <si>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</si>
  <si>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</si>
  <si>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</si>
  <si>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</si>
  <si>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</si>
  <si>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</si>
  <si>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</si>
  <si>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</si>
  <si>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</si>
  <si>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</si>
  <si>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</si>
  <si>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</si>
  <si>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</si>
  <si>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</si>
  <si>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</si>
  <si>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</si>
  <si>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</si>
  <si>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</si>
  <si>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</si>
  <si>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</si>
  <si>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</si>
  <si>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</si>
  <si>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</si>
  <si>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</si>
  <si>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</si>
  <si>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</si>
  <si>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</si>
  <si>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</si>
  <si>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</si>
  <si>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</si>
  <si>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</si>
  <si>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</si>
  <si>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</si>
  <si>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</si>
  <si>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</si>
  <si>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</si>
  <si>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自治区财政厅关于提前下达2024年中央财政医疗服务与保障能力提升补助资金（医疗保障服务能力建设部分）预算的通知</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</si>
  <si>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</si>
  <si>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</si>
  <si>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</si>
  <si>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</si>
  <si>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</si>
  <si>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</si>
  <si>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</si>
  <si>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</si>
  <si>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</si>
  <si>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</si>
  <si>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</si>
  <si>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</si>
  <si>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</si>
  <si>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</si>
  <si>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</si>
  <si>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</si>
  <si>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</si>
  <si>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</si>
  <si>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</si>
  <si>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</si>
  <si>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</si>
  <si>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</si>
  <si>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</si>
  <si>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</si>
  <si>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</si>
  <si>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</si>
  <si>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</si>
  <si>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</si>
  <si>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</si>
  <si>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</si>
  <si>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</si>
  <si>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</si>
  <si>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</si>
  <si>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</si>
  <si>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</si>
  <si>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</si>
  <si>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</si>
  <si>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</si>
  <si>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</si>
  <si>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</si>
  <si>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</si>
  <si>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</si>
  <si>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</si>
  <si>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</si>
  <si>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</si>
  <si>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</si>
  <si>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</si>
  <si>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</si>
  <si>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</si>
  <si>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</si>
  <si>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</si>
  <si>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</si>
  <si>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</si>
  <si>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</si>
  <si>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</si>
  <si>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</si>
  <si>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自治区财政厅关于提前下达2024年中央财政林业草原生态保护恢复资金预算指标的通知</t>
  </si>
  <si>
    <t xml:space="preserve">      其他自然生态保护支出</t>
  </si>
  <si>
    <t>自治区财政厅关于提前下达2025年中央财政林业草原生态保护恢复资金预算指标的通知</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</si>
  <si>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</si>
  <si>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</si>
  <si>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</si>
  <si>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</si>
  <si>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</si>
  <si>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</si>
  <si>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</si>
  <si>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</si>
  <si>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</si>
  <si>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</si>
  <si>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</si>
  <si>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</si>
  <si>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</si>
  <si>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</si>
  <si>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</si>
  <si>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</si>
  <si>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</si>
  <si>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</si>
  <si>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</si>
  <si>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</si>
  <si>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</si>
  <si>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</si>
  <si>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</si>
  <si>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</si>
  <si>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</si>
  <si>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</si>
  <si>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</si>
  <si>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</si>
  <si>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</si>
  <si>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</si>
  <si>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</si>
  <si>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</si>
  <si>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</si>
  <si>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</si>
  <si>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</si>
  <si>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</si>
  <si>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</si>
  <si>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</si>
  <si>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</si>
  <si>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</si>
  <si>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</si>
  <si>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</si>
  <si>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</si>
  <si>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</si>
  <si>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</si>
  <si>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</si>
  <si>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</si>
  <si>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</si>
  <si>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</si>
  <si>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</si>
  <si>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</si>
  <si>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</si>
  <si>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</si>
  <si>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</si>
  <si>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</si>
  <si>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</si>
  <si>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</si>
  <si>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自治区财政厅关于提前下达2024的中央和自治区农业农村相关资金（第一批）预算的通知</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</si>
  <si>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</si>
  <si>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</si>
  <si>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</si>
  <si>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</si>
  <si>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</si>
  <si>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</si>
  <si>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</si>
  <si>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</si>
  <si>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</si>
  <si>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</si>
  <si>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</si>
  <si>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</si>
  <si>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</si>
  <si>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</si>
  <si>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</si>
  <si>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</si>
  <si>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</si>
  <si>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</si>
  <si>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</si>
  <si>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</si>
  <si>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</si>
  <si>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</si>
  <si>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自治区财政厅关于提前下达2024年中央财政林业草原改革发展资金预算指标的通知</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</si>
  <si>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</si>
  <si>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</si>
  <si>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</si>
  <si>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</si>
  <si>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</si>
  <si>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</si>
  <si>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</si>
  <si>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</si>
  <si>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</si>
  <si>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</si>
  <si>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</si>
  <si>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</si>
  <si>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</si>
  <si>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</si>
  <si>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</si>
  <si>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</si>
  <si>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</si>
  <si>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</si>
  <si>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</si>
  <si>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</si>
  <si>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</si>
  <si>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</si>
  <si>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</si>
  <si>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</si>
  <si>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</si>
  <si>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</si>
  <si>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</si>
  <si>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</si>
  <si>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</si>
  <si>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</si>
  <si>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</si>
  <si>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</si>
  <si>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</si>
  <si>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</si>
  <si>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</si>
  <si>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</si>
  <si>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</si>
  <si>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</si>
  <si>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</si>
  <si>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</si>
  <si>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</si>
  <si>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</si>
  <si>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</si>
  <si>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</si>
  <si>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</si>
  <si>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</si>
  <si>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</si>
  <si>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</si>
  <si>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</si>
  <si>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</si>
  <si>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</si>
  <si>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</si>
  <si>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</si>
  <si>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</si>
  <si>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</si>
  <si>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宁夏回族自治区财政厅关于提前下达2024年农业保险保险费补贴资金预算指标的通知</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</si>
  <si>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</si>
  <si>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</si>
  <si>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</si>
  <si>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</si>
  <si>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</si>
  <si>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</si>
  <si>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</si>
  <si>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</si>
  <si>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</si>
  <si>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</si>
  <si>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</si>
  <si>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</si>
  <si>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</si>
  <si>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</si>
  <si>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</si>
  <si>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</si>
  <si>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</si>
  <si>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自治区财政厅关于提前下达2024年中央对地方成品油税费改革转移支付资金（直达资金）预算的通知</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</si>
  <si>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</si>
  <si>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</si>
  <si>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</si>
  <si>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</si>
  <si>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</si>
  <si>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</si>
  <si>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</si>
  <si>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</si>
  <si>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</si>
  <si>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</si>
  <si>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</si>
  <si>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</si>
  <si>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</si>
  <si>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</si>
  <si>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</si>
  <si>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</si>
  <si>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</si>
  <si>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</si>
  <si>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</si>
  <si>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</si>
  <si>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</si>
  <si>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</si>
  <si>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</si>
  <si>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</si>
  <si>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</si>
  <si>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</si>
  <si>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</si>
  <si>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</si>
  <si>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</si>
  <si>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</si>
  <si>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</si>
  <si>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</si>
  <si>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</si>
  <si>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</si>
  <si>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</si>
  <si>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</si>
  <si>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</si>
  <si>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</si>
  <si>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</si>
  <si>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</si>
  <si>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</si>
  <si>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</si>
  <si>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</si>
  <si>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</si>
  <si>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</si>
  <si>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</si>
  <si>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</si>
  <si>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</si>
  <si>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</si>
  <si>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</si>
  <si>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</si>
  <si>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</si>
  <si>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</si>
  <si>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</si>
  <si>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</si>
  <si>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</si>
  <si>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</si>
  <si>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</si>
  <si>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</si>
  <si>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</si>
  <si>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</si>
  <si>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</si>
  <si>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</si>
  <si>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</si>
  <si>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</si>
  <si>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</si>
  <si>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</si>
  <si>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</si>
  <si>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</si>
  <si>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</si>
  <si>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</si>
  <si>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</si>
  <si>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</si>
  <si>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</si>
  <si>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</si>
  <si>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</si>
  <si>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</si>
  <si>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</si>
  <si>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</si>
  <si>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</si>
  <si>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</si>
  <si>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</si>
  <si>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</si>
  <si>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</si>
  <si>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</si>
  <si>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</si>
  <si>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</si>
  <si>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</si>
  <si>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</si>
  <si>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</si>
  <si>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</si>
  <si>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</si>
  <si>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自治区财政厅关于提前下达2024年中央外经贸发展资金预算的通知</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</si>
  <si>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</si>
  <si>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</si>
  <si>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</si>
  <si>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</si>
  <si>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</si>
  <si>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</si>
  <si>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</si>
  <si>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</si>
  <si>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</si>
  <si>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</si>
  <si>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</si>
  <si>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</si>
  <si>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</si>
  <si>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</si>
  <si>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</si>
  <si>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</si>
  <si>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</si>
  <si>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</si>
  <si>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</si>
  <si>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</si>
  <si>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</si>
  <si>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</si>
  <si>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</si>
  <si>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</si>
  <si>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</si>
  <si>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</si>
  <si>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</si>
  <si>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</si>
  <si>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</si>
  <si>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</si>
  <si>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</si>
  <si>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</si>
  <si>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</si>
  <si>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</si>
  <si>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</si>
  <si>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</si>
  <si>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</si>
  <si>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</si>
  <si>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</si>
  <si>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</si>
  <si>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</si>
  <si>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</si>
  <si>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自治区财政厅关于提前下达2024年重点生态保护修复治理（山水林田湖草沙一体化保护和修复工程）资金预算的通知</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</si>
  <si>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</si>
  <si>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</si>
  <si>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</si>
  <si>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</si>
  <si>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</si>
  <si>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</si>
  <si>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</si>
  <si>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</si>
  <si>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</si>
  <si>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</si>
  <si>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</si>
  <si>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</si>
  <si>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</si>
  <si>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</si>
  <si>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</si>
  <si>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</si>
  <si>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</si>
  <si>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</si>
  <si>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</si>
  <si>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</si>
  <si>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</si>
  <si>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</si>
  <si>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</si>
  <si>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</si>
  <si>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</si>
  <si>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</si>
  <si>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</si>
  <si>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</si>
  <si>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</si>
  <si>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</si>
  <si>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</si>
  <si>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</si>
  <si>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</si>
  <si>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</si>
  <si>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</si>
  <si>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</si>
  <si>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</si>
  <si>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</si>
  <si>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</si>
  <si>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</si>
  <si>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</si>
  <si>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</si>
  <si>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</si>
  <si>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</si>
  <si>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</si>
  <si>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自治区财政厅关于提前下达2024年自治区财政城镇保障性安居工程补助资金预算的通知</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</si>
  <si>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</si>
  <si>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</si>
  <si>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</si>
  <si>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</si>
  <si>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</si>
  <si>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</si>
  <si>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</si>
  <si>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</si>
  <si>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</si>
  <si>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</si>
  <si>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</si>
  <si>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</si>
  <si>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</si>
  <si>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</si>
  <si>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</si>
  <si>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</si>
  <si>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</si>
  <si>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</si>
  <si>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</si>
  <si>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</si>
  <si>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</si>
  <si>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</si>
  <si>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</si>
  <si>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</si>
  <si>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</si>
  <si>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</si>
  <si>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</si>
  <si>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</si>
  <si>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</si>
  <si>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</si>
  <si>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</si>
  <si>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</si>
  <si>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</si>
  <si>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</si>
  <si>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</si>
  <si>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</si>
  <si>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</si>
  <si>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</si>
  <si>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</si>
  <si>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</si>
  <si>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</si>
  <si>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</si>
  <si>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</si>
  <si>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</si>
  <si>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</si>
  <si>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</si>
  <si>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</si>
  <si>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</si>
  <si>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</si>
  <si>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</si>
  <si>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</si>
  <si>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</si>
  <si>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</si>
  <si>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</si>
  <si>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</si>
  <si>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</si>
  <si>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</si>
  <si>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</si>
  <si>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</si>
  <si>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</si>
  <si>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</si>
  <si>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</si>
  <si>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</si>
  <si>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</si>
  <si>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</si>
  <si>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</si>
  <si>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</si>
  <si>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</si>
  <si>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</si>
  <si>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</si>
  <si>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</si>
  <si>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</si>
  <si>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</si>
  <si>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</si>
  <si>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</si>
  <si>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</si>
  <si>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</si>
  <si>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</si>
  <si>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</si>
  <si>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</si>
  <si>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</si>
  <si>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</si>
  <si>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</si>
  <si>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</si>
  <si>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</si>
  <si>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</si>
  <si>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</si>
  <si>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</si>
  <si>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</si>
  <si>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</si>
  <si>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</si>
  <si>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</si>
  <si>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</si>
  <si>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表14-3</t>
  </si>
  <si>
    <t>2024年市本级一般公共预算收支平衡表</t>
  </si>
  <si>
    <t>收入</t>
  </si>
  <si>
    <t>支出</t>
  </si>
  <si>
    <t>　　　增值税留抵退税转移支付收入</t>
  </si>
  <si>
    <t>　　　其他退税减税降费转移支付收入</t>
  </si>
  <si>
    <t>　　　补充县区财力转移支付收入</t>
  </si>
  <si>
    <t xml:space="preserve">  下级上解收入</t>
  </si>
  <si>
    <t>　债务转贷收入</t>
  </si>
  <si>
    <t xml:space="preserve">  　地方政府一般债务转贷收入</t>
  </si>
  <si>
    <t>　动用预算稳定调节基金区域间转移性收入</t>
  </si>
  <si>
    <t xml:space="preserve">  区域间转移性支出</t>
  </si>
  <si>
    <t>　区域间转移性收入</t>
  </si>
  <si>
    <t xml:space="preserve">    援助其他地区支出</t>
  </si>
  <si>
    <t xml:space="preserve">    接受其他地区援助收入</t>
  </si>
  <si>
    <t xml:space="preserve">    生态保护补偿转移性支出</t>
  </si>
  <si>
    <t>　　生态保护补偿转移性收入</t>
  </si>
  <si>
    <t xml:space="preserve">    土地指标调剂转移性支出</t>
  </si>
  <si>
    <t xml:space="preserve">   土地指标调剂转移性收入</t>
  </si>
  <si>
    <t xml:space="preserve">    其他转移性支出</t>
  </si>
  <si>
    <t>　　其他转移性收入</t>
  </si>
  <si>
    <t xml:space="preserve">  计划单列市上解省支出</t>
  </si>
  <si>
    <t xml:space="preserve">  省补助计划单列市支出</t>
  </si>
  <si>
    <t xml:space="preserve">  年终结余</t>
  </si>
  <si>
    <t>表14-4</t>
  </si>
  <si>
    <t>2024年市本级一般公共预算支出资金来源表</t>
  </si>
  <si>
    <t>合计</t>
  </si>
  <si>
    <t>财力安排</t>
  </si>
  <si>
    <t>专项转移支付收入安排</t>
  </si>
  <si>
    <t>动用上年结余安排</t>
  </si>
  <si>
    <t>调入资金</t>
  </si>
  <si>
    <t>政府债务资金</t>
  </si>
  <si>
    <t>其他资金</t>
  </si>
  <si>
    <t xml:space="preserve">  一般公共服务</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</si>
  <si>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</si>
  <si>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</si>
  <si>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</si>
  <si>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</si>
  <si>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</si>
  <si>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</si>
  <si>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</si>
  <si>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</si>
  <si>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</si>
  <si>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</si>
  <si>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</si>
  <si>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巩固脱贫攻坚成果衔接乡村振兴</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</si>
  <si>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</si>
  <si>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</si>
  <si>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</si>
  <si>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</si>
  <si>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</si>
  <si>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</si>
  <si>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</si>
  <si>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</si>
  <si>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</si>
  <si>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</si>
  <si>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其他支出</t>
  </si>
  <si>
    <t xml:space="preserve">  债务付息支出</t>
  </si>
  <si>
    <t xml:space="preserve">  债务发行费用支出</t>
  </si>
  <si>
    <t>表14-5</t>
  </si>
  <si>
    <t>2024年市本级一般公共预算支出政府经济科目表</t>
  </si>
  <si>
    <t>单位： 万元</t>
  </si>
  <si>
    <t>科目编码</t>
  </si>
  <si>
    <t>科目名称</t>
  </si>
  <si>
    <t>本级财力安排</t>
  </si>
  <si>
    <t>一般性转移支付</t>
  </si>
  <si>
    <t>专项转移支付</t>
  </si>
  <si>
    <t>501</t>
  </si>
  <si>
    <t>机关工资福利支出</t>
  </si>
  <si>
    <t>　50101</t>
  </si>
  <si>
    <t>　工资奖金津补贴</t>
  </si>
  <si>
    <t>　50102</t>
  </si>
  <si>
    <t>　社会保障缴费</t>
  </si>
  <si>
    <t>　50103</t>
  </si>
  <si>
    <t>　住房公积金</t>
  </si>
  <si>
    <t>　50199</t>
  </si>
  <si>
    <t>　其他工资福利支出</t>
  </si>
  <si>
    <t>502</t>
  </si>
  <si>
    <t>机关商品和服务支出</t>
  </si>
  <si>
    <t>　50201</t>
  </si>
  <si>
    <t>　办公经费</t>
  </si>
  <si>
    <t>　50202</t>
  </si>
  <si>
    <t>　会议费</t>
  </si>
  <si>
    <t>　50203</t>
  </si>
  <si>
    <t>　培训费</t>
  </si>
  <si>
    <t>　50204</t>
  </si>
  <si>
    <t>　专用材料购置费</t>
  </si>
  <si>
    <t>　50205</t>
  </si>
  <si>
    <t>　委托业务费</t>
  </si>
  <si>
    <t>　50206</t>
  </si>
  <si>
    <t>　公务接待费</t>
  </si>
  <si>
    <t>　50208</t>
  </si>
  <si>
    <t>　公务用车运行维护费</t>
  </si>
  <si>
    <t>　50209</t>
  </si>
  <si>
    <t>　维修（护）费</t>
  </si>
  <si>
    <t>　50299</t>
  </si>
  <si>
    <t>　其他商品和服务支出</t>
  </si>
  <si>
    <t>503</t>
  </si>
  <si>
    <t>机关资本性支出</t>
  </si>
  <si>
    <t>　50302</t>
  </si>
  <si>
    <t>　基础设施建设</t>
  </si>
  <si>
    <t>　50306</t>
  </si>
  <si>
    <t>　设备购置</t>
  </si>
  <si>
    <t>　50307</t>
  </si>
  <si>
    <t>　大型修缮</t>
  </si>
  <si>
    <t>　50399</t>
  </si>
  <si>
    <t>　其他资本性支出</t>
  </si>
  <si>
    <t>504</t>
  </si>
  <si>
    <t>机关资本性支出（基本建设）</t>
  </si>
  <si>
    <t>　50402</t>
  </si>
  <si>
    <t>　50404</t>
  </si>
  <si>
    <t>505</t>
  </si>
  <si>
    <t>对事业单位经常性补助</t>
  </si>
  <si>
    <t>　50501</t>
  </si>
  <si>
    <t>　工资福利支出</t>
  </si>
  <si>
    <t>　50502</t>
  </si>
  <si>
    <t>　商品和服务支出</t>
  </si>
  <si>
    <t>506</t>
  </si>
  <si>
    <t>对事业单位资本性补助</t>
  </si>
  <si>
    <t>　50601</t>
  </si>
  <si>
    <t>　资本性支出</t>
  </si>
  <si>
    <t>　50602</t>
  </si>
  <si>
    <t>　资本性支出（基本建设）</t>
  </si>
  <si>
    <t>507</t>
  </si>
  <si>
    <t>对企业补助</t>
  </si>
  <si>
    <t>　50701</t>
  </si>
  <si>
    <t>　费用补贴</t>
  </si>
  <si>
    <t>　50799</t>
  </si>
  <si>
    <t>　其他对企业补助</t>
  </si>
  <si>
    <t>509</t>
  </si>
  <si>
    <t>对个人和家庭的补助</t>
  </si>
  <si>
    <t>　50901</t>
  </si>
  <si>
    <t>　社会福利和救助</t>
  </si>
  <si>
    <t>　50905</t>
  </si>
  <si>
    <t>　离退休费</t>
  </si>
  <si>
    <t>　50999</t>
  </si>
  <si>
    <t>　其他对个人和家庭补助</t>
  </si>
  <si>
    <t>511</t>
  </si>
  <si>
    <t>债务利息及费用支出</t>
  </si>
  <si>
    <t>　51101</t>
  </si>
  <si>
    <t>　国内债务付息</t>
  </si>
  <si>
    <t>599</t>
  </si>
  <si>
    <t>　59999</t>
  </si>
  <si>
    <t>　其他支出</t>
  </si>
  <si>
    <t>2024年市本级一般公共预算支出政府经济科目基本支出表</t>
  </si>
  <si>
    <t>一般公共预算</t>
  </si>
  <si>
    <t>表15-1</t>
  </si>
  <si>
    <t>2024年市本级对下一般公共预算转移支付预算表</t>
  </si>
  <si>
    <t>地    区</t>
  </si>
  <si>
    <t>转移支付合计</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</si>
  <si>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</si>
  <si>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</si>
  <si>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</si>
  <si>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</si>
  <si>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</si>
  <si>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</si>
  <si>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</si>
  <si>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</si>
  <si>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</si>
  <si>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</si>
  <si>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</si>
  <si>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</si>
  <si>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</si>
  <si>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</si>
  <si>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</si>
  <si>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</si>
  <si>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</si>
  <si>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</si>
  <si>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</si>
  <si>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</si>
  <si>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</si>
  <si>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</si>
  <si>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</si>
  <si>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</si>
  <si>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</si>
  <si>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</si>
  <si>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</si>
  <si>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</si>
  <si>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</si>
  <si>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</si>
  <si>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</si>
  <si>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</si>
  <si>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</si>
  <si>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</si>
  <si>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增值税留抵退税转移支付收入</t>
  </si>
  <si>
    <t>其他退税减税降费转移支付收入</t>
  </si>
  <si>
    <t>补充县区财力转移支付</t>
  </si>
  <si>
    <t>其他一般性转移支付收入</t>
  </si>
  <si>
    <t>本级</t>
  </si>
  <si>
    <t>表15-2</t>
  </si>
  <si>
    <t>地区</t>
  </si>
  <si>
    <t>专项转移支付小计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</si>
  <si>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</si>
  <si>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</si>
  <si>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</si>
  <si>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</si>
  <si>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</si>
  <si>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</si>
  <si>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</si>
  <si>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</si>
  <si>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</si>
  <si>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</si>
  <si>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</si>
  <si>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</si>
  <si>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</si>
  <si>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</si>
  <si>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</si>
  <si>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</si>
  <si>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</si>
  <si>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</si>
  <si>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</si>
  <si>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</si>
  <si>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表16</t>
  </si>
  <si>
    <t>2024年市本级一般公共预算支出“三公”经费预算表</t>
  </si>
  <si>
    <t>项目名称</t>
  </si>
  <si>
    <t>因公出国（境）费</t>
  </si>
  <si>
    <t>公务用车购置及运行费</t>
  </si>
  <si>
    <t>小计</t>
  </si>
  <si>
    <t>公务用车购置费</t>
  </si>
  <si>
    <t>公务用车运行费</t>
  </si>
  <si>
    <t>公务接待费</t>
  </si>
  <si>
    <t>表17-1</t>
  </si>
  <si>
    <t>2024年市本级政府性基金预算收支表</t>
  </si>
  <si>
    <t xml:space="preserve">  一、农网还贷资金收入</t>
  </si>
  <si>
    <t xml:space="preserve">  二、海南省高等级公路车辆通行附加费收入</t>
  </si>
  <si>
    <t xml:space="preserve">    国家电影事业发展专项资金安排的支出</t>
  </si>
  <si>
    <t xml:space="preserve">  三、国家电影事业发展专项资金收入</t>
  </si>
  <si>
    <t xml:space="preserve">      资助国产影片放映</t>
  </si>
  <si>
    <t xml:space="preserve">  四、国有土地收益基金收入</t>
  </si>
  <si>
    <t xml:space="preserve">      资助影院建设</t>
  </si>
  <si>
    <t xml:space="preserve">  五、农业土地开发资金收入</t>
  </si>
  <si>
    <t xml:space="preserve">      资助少数民族语电影译制</t>
  </si>
  <si>
    <t xml:space="preserve">  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</si>
  <si>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</si>
  <si>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</si>
  <si>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</si>
  <si>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</si>
  <si>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</si>
  <si>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</si>
  <si>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</si>
  <si>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</si>
  <si>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</si>
  <si>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</si>
  <si>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</si>
  <si>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 xml:space="preserve">  七、大中型水库库区基金收入</t>
  </si>
  <si>
    <t xml:space="preserve">      地方旅游开发项目补助</t>
  </si>
  <si>
    <t xml:space="preserve">  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</si>
  <si>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</si>
  <si>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</si>
  <si>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</si>
  <si>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</si>
  <si>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</si>
  <si>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 xml:space="preserve">  九、城市基础设施配套费收入</t>
  </si>
  <si>
    <t xml:space="preserve">      其他国家电影事业发展专项资金对应专项债务收入支出</t>
  </si>
  <si>
    <t xml:space="preserve">  十、小型水库移民扶助基金收入</t>
  </si>
  <si>
    <t xml:space="preserve">  十一、国家重大水利工程建设基金收入</t>
  </si>
  <si>
    <t xml:space="preserve">    大中型水库移民后期扶持基金支出</t>
  </si>
  <si>
    <t xml:space="preserve">  十二、车辆通行费</t>
  </si>
  <si>
    <t xml:space="preserve">      移民补助</t>
  </si>
  <si>
    <t xml:space="preserve">  十三、污水处理费收入</t>
  </si>
  <si>
    <t xml:space="preserve">      基础设施建设和经济发展</t>
  </si>
  <si>
    <t xml:space="preserve">  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</si>
  <si>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</si>
  <si>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</si>
  <si>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</si>
  <si>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</si>
  <si>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</si>
  <si>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</si>
  <si>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</si>
  <si>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</si>
  <si>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</si>
  <si>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 xml:space="preserve">  十五、其他政府性基金收入</t>
  </si>
  <si>
    <t xml:space="preserve">  十六、专项债务对应项目专项收入</t>
  </si>
  <si>
    <t xml:space="preserve">      其他小型水库移民扶助基金对应专项债务收入安排的支出</t>
  </si>
  <si>
    <t xml:space="preserve">    海南省高等级公路车辆通行附加费专项债务对应项目专项收入</t>
  </si>
  <si>
    <t xml:space="preserve">    国家电影事业发展专项资金专项债务对应项目专项收入</t>
  </si>
  <si>
    <t xml:space="preserve">    可再生能源电价附加收入安排的支出</t>
  </si>
  <si>
    <t xml:space="preserve">    国有土地使用权出让金专项债务对应项目专项收入</t>
  </si>
  <si>
    <t xml:space="preserve">      风力发电补助</t>
  </si>
  <si>
    <t xml:space="preserve">      土地储备专项债券对应项目专项收入</t>
  </si>
  <si>
    <t xml:space="preserve">      太阳能发电补助</t>
  </si>
  <si>
    <t xml:space="preserve">      棚户区改造专项债券对应项目专项收入</t>
  </si>
  <si>
    <t xml:space="preserve">      生物质能发电补助</t>
  </si>
  <si>
    <t xml:space="preserve">      其他国有土地使用权出让金专项债务对应项目专项收入</t>
  </si>
  <si>
    <t xml:space="preserve">      其他可再生能源电价附加收入安排的支出</t>
  </si>
  <si>
    <t xml:space="preserve">    农业土地开发资金专项债务对应项目专项收入</t>
  </si>
  <si>
    <t xml:space="preserve">    废弃电器电子产品处理基金支出</t>
  </si>
  <si>
    <t xml:space="preserve">    大中型水库库区基金专项债务对应项目专项收入</t>
  </si>
  <si>
    <t xml:space="preserve">      回收处理费用补贴</t>
  </si>
  <si>
    <t xml:space="preserve">    城市基础设施配套费专项债务对应项目专项收入</t>
  </si>
  <si>
    <t xml:space="preserve">      信息系统建设</t>
  </si>
  <si>
    <t xml:space="preserve">    小型水库移民扶助基金专项债务对应项目专项收入</t>
  </si>
  <si>
    <t xml:space="preserve">      基金征管经费</t>
  </si>
  <si>
    <t xml:space="preserve">    国家重大水利工程建设基金专项债务对应项目专项收入</t>
  </si>
  <si>
    <t xml:space="preserve">      其他废弃电器电子产品处理基金支出</t>
  </si>
  <si>
    <t xml:space="preserve">    车辆通行费专项债务对应项目专项收入</t>
  </si>
  <si>
    <t xml:space="preserve">      政府收费公路专项债务对应项目专项收入</t>
  </si>
  <si>
    <t xml:space="preserve">      其他车辆通行费专项债务对应项目专项收入</t>
  </si>
  <si>
    <t xml:space="preserve">      征地和拆迁补偿支出</t>
  </si>
  <si>
    <t xml:space="preserve">    污水处理费专项债务对应项目专项收入</t>
  </si>
  <si>
    <t xml:space="preserve">      土地开发支出</t>
  </si>
  <si>
    <t xml:space="preserve">    其他政府性基金专项债务对应项目专项收入</t>
  </si>
  <si>
    <t xml:space="preserve">      城市建设支出</t>
  </si>
  <si>
    <t xml:space="preserve">      其他地方自行试点项目收益专项债券对应项目专项收入</t>
  </si>
  <si>
    <t xml:space="preserve">      农村基础设施建设支出</t>
  </si>
  <si>
    <t xml:space="preserve">      其他政府性基金专项债务对应项目专项收入</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</si>
  <si>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</si>
  <si>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</si>
  <si>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</si>
  <si>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</si>
  <si>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</si>
  <si>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</si>
  <si>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</si>
  <si>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</si>
  <si>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</si>
  <si>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</si>
  <si>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</si>
  <si>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</si>
  <si>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</si>
  <si>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</si>
  <si>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</si>
  <si>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</si>
  <si>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</si>
  <si>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</si>
  <si>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</si>
  <si>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</si>
  <si>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</si>
  <si>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</si>
  <si>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</si>
  <si>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</si>
  <si>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</si>
  <si>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</si>
  <si>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</si>
  <si>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</si>
  <si>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</si>
  <si>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</si>
  <si>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</si>
  <si>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</si>
  <si>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</si>
  <si>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</si>
  <si>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</si>
  <si>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</si>
  <si>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</si>
  <si>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</si>
  <si>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</si>
  <si>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</si>
  <si>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</si>
  <si>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</si>
  <si>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</si>
  <si>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</si>
  <si>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</si>
  <si>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</si>
  <si>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</si>
  <si>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</si>
  <si>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</si>
  <si>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</si>
  <si>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</si>
  <si>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</si>
  <si>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</si>
  <si>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</si>
  <si>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</si>
  <si>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</si>
  <si>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</si>
  <si>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</si>
  <si>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</si>
  <si>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</si>
  <si>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</si>
  <si>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</si>
  <si>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</si>
  <si>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</si>
  <si>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</si>
  <si>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</si>
  <si>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</si>
  <si>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</si>
  <si>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</si>
  <si>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</si>
  <si>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</si>
  <si>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</si>
  <si>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</si>
  <si>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</si>
  <si>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</si>
  <si>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</si>
  <si>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</si>
  <si>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</si>
  <si>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</si>
  <si>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</si>
  <si>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</si>
  <si>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</si>
  <si>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</si>
  <si>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</si>
  <si>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</si>
  <si>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</si>
  <si>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</si>
  <si>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</si>
  <si>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</si>
  <si>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</si>
  <si>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</si>
  <si>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</si>
  <si>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</si>
  <si>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</si>
  <si>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</si>
  <si>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</si>
  <si>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</si>
  <si>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</si>
  <si>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</si>
  <si>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</si>
  <si>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</si>
  <si>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</si>
  <si>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</si>
  <si>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</si>
  <si>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</si>
  <si>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</si>
  <si>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</si>
  <si>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</si>
  <si>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</si>
  <si>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</si>
  <si>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</si>
  <si>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</si>
  <si>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</si>
  <si>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</si>
  <si>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</si>
  <si>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</si>
  <si>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</si>
  <si>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</si>
  <si>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</si>
  <si>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</si>
  <si>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</si>
  <si>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</si>
  <si>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</si>
  <si>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</si>
  <si>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</si>
  <si>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</si>
  <si>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</si>
  <si>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</si>
  <si>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</si>
  <si>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</si>
  <si>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</si>
  <si>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</si>
  <si>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</si>
  <si>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</si>
  <si>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</si>
  <si>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</si>
  <si>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</si>
  <si>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</si>
  <si>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</si>
  <si>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</si>
  <si>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</si>
  <si>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</si>
  <si>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</si>
  <si>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</si>
  <si>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</si>
  <si>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</si>
  <si>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</si>
  <si>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</si>
  <si>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</si>
  <si>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</si>
  <si>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</si>
  <si>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</si>
  <si>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</si>
  <si>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</si>
  <si>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</si>
  <si>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</si>
  <si>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政府性基金上解收入</t>
  </si>
  <si>
    <t xml:space="preserve">    政府性基金上解支出</t>
  </si>
  <si>
    <t xml:space="preserve">    地方政府专项债务转贷收入</t>
  </si>
  <si>
    <t xml:space="preserve">    地方政府专项债务转贷支出</t>
  </si>
  <si>
    <t>表17-2</t>
  </si>
  <si>
    <t>2024年市本级政府性基金预算支出资金来源表</t>
  </si>
  <si>
    <t>当年预算收入安排</t>
  </si>
  <si>
    <t>转移支付收入安排</t>
  </si>
  <si>
    <t xml:space="preserve">   国家电影事业发展专项资金安排的支出</t>
  </si>
  <si>
    <t xml:space="preserve">   旅游发展基金支出</t>
  </si>
  <si>
    <t xml:space="preserve">   国家电影事业发展专项资金对应专项债务收入安排的支出</t>
  </si>
  <si>
    <t xml:space="preserve">    污水处理费安排的支出</t>
  </si>
  <si>
    <t xml:space="preserve">    大中型水库库区基金对应专项债务收入安排的支出</t>
  </si>
  <si>
    <t xml:space="preserve">    国家重大水利工程建设基金对应专项债务收入安排的支出</t>
  </si>
  <si>
    <r>
      <rPr>
        <sz val="10"/>
        <rFont val="宋体"/>
        <charset val="0"/>
      </rPr>
      <t>表</t>
    </r>
    <r>
      <rPr>
        <sz val="10"/>
        <rFont val="Arial"/>
        <charset val="0"/>
      </rPr>
      <t>17-3</t>
    </r>
  </si>
  <si>
    <t>2024年市本级政府性基金支出政府经济科目表</t>
  </si>
  <si>
    <t>本级已分配</t>
  </si>
  <si>
    <t>本级未分配</t>
  </si>
  <si>
    <t>50205</t>
  </si>
  <si>
    <t>委托业务费</t>
  </si>
  <si>
    <t>50305</t>
  </si>
  <si>
    <t>土地征迁补偿和安置支出</t>
  </si>
  <si>
    <t>　50305</t>
  </si>
  <si>
    <t>　土地征迁补偿和安置支出</t>
  </si>
  <si>
    <t>50402</t>
  </si>
  <si>
    <t>基础设施建设</t>
  </si>
  <si>
    <t>50502</t>
  </si>
  <si>
    <t>商品和服务支出</t>
  </si>
  <si>
    <t>50701</t>
  </si>
  <si>
    <t>费用补贴</t>
  </si>
  <si>
    <t>50999</t>
  </si>
  <si>
    <t>其他对个人和家庭的补助</t>
  </si>
  <si>
    <t>　其他对个人和家庭的补助</t>
  </si>
  <si>
    <t>51101</t>
  </si>
  <si>
    <t>国内债务付息</t>
  </si>
  <si>
    <t>51201</t>
  </si>
  <si>
    <t>国内债务还本</t>
  </si>
  <si>
    <t>　51201</t>
  </si>
  <si>
    <t>　国内债务还本</t>
  </si>
  <si>
    <t>59999</t>
  </si>
  <si>
    <t>表18</t>
  </si>
  <si>
    <t>2024年市本级国有资本经营预算收支情况表</t>
  </si>
  <si>
    <t>表18-1</t>
  </si>
  <si>
    <t>2024年地方国有资本经营收入预算表</t>
  </si>
  <si>
    <t>填报单位：固原市财政局</t>
  </si>
  <si>
    <t>2024年
预算数</t>
  </si>
  <si>
    <t>10306</t>
  </si>
  <si>
    <t>一、国有资本经营收入</t>
  </si>
  <si>
    <t>235.00</t>
  </si>
  <si>
    <t>1030601</t>
  </si>
  <si>
    <t>1.利润收入</t>
  </si>
  <si>
    <t>103060103</t>
  </si>
  <si>
    <t>烟草企业利润收入</t>
  </si>
  <si>
    <t/>
  </si>
  <si>
    <t>103060104</t>
  </si>
  <si>
    <t>石油石化企业利润收入</t>
  </si>
  <si>
    <t>103060105</t>
  </si>
  <si>
    <t>电力企业利润收入</t>
  </si>
  <si>
    <t>103060106</t>
  </si>
  <si>
    <t>电信企业利润收入</t>
  </si>
  <si>
    <t>103060107</t>
  </si>
  <si>
    <t>煤炭企业利润收入</t>
  </si>
  <si>
    <t>103060108</t>
  </si>
  <si>
    <t>有色冶金采掘企业利润收入</t>
  </si>
  <si>
    <t>103060109</t>
  </si>
  <si>
    <t>钢铁企业利润收入</t>
  </si>
  <si>
    <t>103060112</t>
  </si>
  <si>
    <t>化工企业利润收入</t>
  </si>
  <si>
    <t>103060113</t>
  </si>
  <si>
    <t>运输企业利润收入</t>
  </si>
  <si>
    <t>103060114</t>
  </si>
  <si>
    <t>电子企业利润收入</t>
  </si>
  <si>
    <t>103060115</t>
  </si>
  <si>
    <t>机械企业利润收入</t>
  </si>
  <si>
    <t>103060116</t>
  </si>
  <si>
    <t>投资服务企业利润收入</t>
  </si>
  <si>
    <t>103060117</t>
  </si>
  <si>
    <t>纺织轻工企业利润收入</t>
  </si>
  <si>
    <t>103060118</t>
  </si>
  <si>
    <t>贸易企业利润收入</t>
  </si>
  <si>
    <t>103060119</t>
  </si>
  <si>
    <t>建筑施工企业利润收入</t>
  </si>
  <si>
    <t>103060120</t>
  </si>
  <si>
    <t>房地产企业利润收入</t>
  </si>
  <si>
    <t>103060121</t>
  </si>
  <si>
    <t>建材企业利润收入</t>
  </si>
  <si>
    <t>103060122</t>
  </si>
  <si>
    <t>境外企业利润收入</t>
  </si>
  <si>
    <t>103060123</t>
  </si>
  <si>
    <t>对外合作企业利润收入</t>
  </si>
  <si>
    <t>103060124</t>
  </si>
  <si>
    <t>医药企业利润收入</t>
  </si>
  <si>
    <t>103060125</t>
  </si>
  <si>
    <t>农林牧渔企业利润收入</t>
  </si>
  <si>
    <t>103060126</t>
  </si>
  <si>
    <t>邮政企业利润收入</t>
  </si>
  <si>
    <t>103060127</t>
  </si>
  <si>
    <t>军工企业利润收入</t>
  </si>
  <si>
    <t>103060128</t>
  </si>
  <si>
    <t>转制科研院所利润收入</t>
  </si>
  <si>
    <t>103060129</t>
  </si>
  <si>
    <t>地质勘查企业利润收入</t>
  </si>
  <si>
    <t>103060130</t>
  </si>
  <si>
    <t>卫生体育福利企业利润收入</t>
  </si>
  <si>
    <t>103060131</t>
  </si>
  <si>
    <t>教育文化广播企业利润收入</t>
  </si>
  <si>
    <t>103060132</t>
  </si>
  <si>
    <t>科学研究企业利润收入</t>
  </si>
  <si>
    <t>103060133</t>
  </si>
  <si>
    <t>机关社团所属企业利润收入</t>
  </si>
  <si>
    <t>103060134</t>
  </si>
  <si>
    <t>金融企业利润收入（国资预算）</t>
  </si>
  <si>
    <t>103060198</t>
  </si>
  <si>
    <t>其他国有资本经营预算企业利润收入</t>
  </si>
  <si>
    <t>1030602</t>
  </si>
  <si>
    <t>2.股利、股息收入</t>
  </si>
  <si>
    <t>103060202</t>
  </si>
  <si>
    <t>国有控股公司股利、股息收入</t>
  </si>
  <si>
    <t>103060203</t>
  </si>
  <si>
    <t>国有参股公司股利、股息收入</t>
  </si>
  <si>
    <t>103060204</t>
  </si>
  <si>
    <t>金融企业股利、股息收入（国资预算）</t>
  </si>
  <si>
    <t>103060298</t>
  </si>
  <si>
    <t xml:space="preserve"> 其他国有资本经营预算企业股利、股息收入</t>
  </si>
  <si>
    <t>1030603</t>
  </si>
  <si>
    <t>3.产权转让收入</t>
  </si>
  <si>
    <t>103060301</t>
  </si>
  <si>
    <t>国有股减持收入</t>
  </si>
  <si>
    <t>103060304</t>
  </si>
  <si>
    <t>国有股权、股份转让收入</t>
  </si>
  <si>
    <t>103060305</t>
  </si>
  <si>
    <t>国有独资企业产权转让收入</t>
  </si>
  <si>
    <t>103060307</t>
  </si>
  <si>
    <t>金融企业产权转让收入</t>
  </si>
  <si>
    <t>103060398</t>
  </si>
  <si>
    <t xml:space="preserve"> 其他国有资本经营预算企业产权转让收入</t>
  </si>
  <si>
    <t>1030604</t>
  </si>
  <si>
    <t>4.清算收入</t>
  </si>
  <si>
    <t>103060401</t>
  </si>
  <si>
    <t>国有股权、股份清算收入</t>
  </si>
  <si>
    <t>103060402</t>
  </si>
  <si>
    <t>国有独资企业清算收入</t>
  </si>
  <si>
    <t>103060498</t>
  </si>
  <si>
    <t>其他国有资本经营预算企业清算收入</t>
  </si>
  <si>
    <t>1030698</t>
  </si>
  <si>
    <t>5.其他国有资本经营预算收入</t>
  </si>
  <si>
    <t>11005</t>
  </si>
  <si>
    <t>二、国有资本经营预算转移支付收入</t>
  </si>
  <si>
    <t>1100501</t>
  </si>
  <si>
    <t>1.国有资本经营预算转移支付收入</t>
  </si>
  <si>
    <t>11006</t>
  </si>
  <si>
    <t>三、上解收入</t>
  </si>
  <si>
    <t>1100604</t>
  </si>
  <si>
    <t>1.国有资本经营预算上解收入</t>
  </si>
  <si>
    <t>11008</t>
  </si>
  <si>
    <t>四、上年结余收入</t>
  </si>
  <si>
    <t>1100804</t>
  </si>
  <si>
    <t>1.国有资本经营预算上年结余收入</t>
  </si>
  <si>
    <t>转移性收入合计</t>
  </si>
  <si>
    <t>表18-2</t>
  </si>
  <si>
    <t>2024年地方国有资本经营支出预算表</t>
  </si>
  <si>
    <t>预算单位：固原市财政局</t>
  </si>
  <si>
    <t>金额单位：万元</t>
  </si>
  <si>
    <t>资本性支出</t>
  </si>
  <si>
    <t>费用性支出</t>
  </si>
  <si>
    <t>208</t>
  </si>
  <si>
    <t>一、社会保障和就业支出</t>
  </si>
  <si>
    <t>20804</t>
  </si>
  <si>
    <t xml:space="preserve"> 1、补充全国社会保障基金</t>
  </si>
  <si>
    <t>2080451</t>
  </si>
  <si>
    <t xml:space="preserve">  国有资本经营预算补充社保基金支出</t>
  </si>
  <si>
    <t>223</t>
  </si>
  <si>
    <t>二、国有资本经营预算支出</t>
  </si>
  <si>
    <t>22301</t>
  </si>
  <si>
    <t xml:space="preserve"> 1、解决历史遗留问题及改革成本支出</t>
  </si>
  <si>
    <t>2230101</t>
  </si>
  <si>
    <t xml:space="preserve">  厂办大集体改革支出</t>
  </si>
  <si>
    <t>2230102</t>
  </si>
  <si>
    <t xml:space="preserve">  “三供一业”移交补助支出</t>
  </si>
  <si>
    <t>2230103</t>
  </si>
  <si>
    <t xml:space="preserve">  国有企业办职教幼教补助支出</t>
  </si>
  <si>
    <t>2230104</t>
  </si>
  <si>
    <t xml:space="preserve">  国有企业办公共服务机构移交补助支出</t>
  </si>
  <si>
    <t>2230105</t>
  </si>
  <si>
    <t xml:space="preserve">  国有企业退休人员社会化管理补助支出</t>
  </si>
  <si>
    <t>2230106</t>
  </si>
  <si>
    <t xml:space="preserve">  国有企业棚户区改造支出</t>
  </si>
  <si>
    <t>2230107</t>
  </si>
  <si>
    <t xml:space="preserve">  国有企业改革成本支出</t>
  </si>
  <si>
    <t>2230108</t>
  </si>
  <si>
    <t xml:space="preserve">  离休干部医药费补助支出</t>
  </si>
  <si>
    <t>2230109</t>
  </si>
  <si>
    <t xml:space="preserve">  金融企业改革性支出</t>
  </si>
  <si>
    <t>2230199</t>
  </si>
  <si>
    <t xml:space="preserve">  其他解决历史遗留问题及改革成本支出</t>
  </si>
  <si>
    <t>22302</t>
  </si>
  <si>
    <t xml:space="preserve"> 2、国有企业资本金注入</t>
  </si>
  <si>
    <t>2230201</t>
  </si>
  <si>
    <t xml:space="preserve">  国有经济结构调整支出</t>
  </si>
  <si>
    <t>2230202</t>
  </si>
  <si>
    <t xml:space="preserve">  公益性设施投资支出</t>
  </si>
  <si>
    <t>2230203</t>
  </si>
  <si>
    <t xml:space="preserve">  前瞻性战略性产业发展支出</t>
  </si>
  <si>
    <t>2230204</t>
  </si>
  <si>
    <t xml:space="preserve">  生态环境保护支出</t>
  </si>
  <si>
    <t>2230205</t>
  </si>
  <si>
    <t xml:space="preserve">  支持科技进步支出</t>
  </si>
  <si>
    <t>2230206</t>
  </si>
  <si>
    <t xml:space="preserve">  保障国家经济安全支出</t>
  </si>
  <si>
    <t>2230208</t>
  </si>
  <si>
    <t xml:space="preserve">  金融企业资本性支出</t>
  </si>
  <si>
    <t>2230299</t>
  </si>
  <si>
    <t xml:space="preserve">  其他国有企业资本金注入</t>
  </si>
  <si>
    <t>22303</t>
  </si>
  <si>
    <t xml:space="preserve"> 3、国有企业政策性补贴</t>
  </si>
  <si>
    <t>2230301</t>
  </si>
  <si>
    <t xml:space="preserve">  国有企业政策性补贴</t>
  </si>
  <si>
    <t>22399</t>
  </si>
  <si>
    <t xml:space="preserve"> 4、其他国有资本经营预算支出</t>
  </si>
  <si>
    <t>2239999</t>
  </si>
  <si>
    <t xml:space="preserve">  其他国有资本经营预算支出</t>
  </si>
  <si>
    <t>230</t>
  </si>
  <si>
    <t>三、转移性支出</t>
  </si>
  <si>
    <t>23005</t>
  </si>
  <si>
    <t xml:space="preserve"> 1、国有资本经营预算转移支付</t>
  </si>
  <si>
    <t>2300501</t>
  </si>
  <si>
    <t xml:space="preserve">  国有资本经营预算转移支付支出</t>
  </si>
  <si>
    <t>23006</t>
  </si>
  <si>
    <t xml:space="preserve"> 2、上解支出</t>
  </si>
  <si>
    <t>2300604</t>
  </si>
  <si>
    <t xml:space="preserve">  国有资本经营预算上解支出</t>
  </si>
  <si>
    <t>23008</t>
  </si>
  <si>
    <t xml:space="preserve"> 3、调出资金</t>
  </si>
  <si>
    <t>2300803</t>
  </si>
  <si>
    <t xml:space="preserve">  国有资本经营预算调出资金</t>
  </si>
  <si>
    <t>23009</t>
  </si>
  <si>
    <t xml:space="preserve"> 4、年终结余</t>
  </si>
  <si>
    <t>2300918</t>
  </si>
  <si>
    <t xml:space="preserve">  国有资本经营预算年终结余</t>
  </si>
  <si>
    <t>表19</t>
  </si>
  <si>
    <t>2024年市本级社会保险基金收支安排表</t>
  </si>
  <si>
    <t>表19-1</t>
  </si>
  <si>
    <t>2024年社会保险基金收支预算表</t>
  </si>
  <si>
    <t>项        目</t>
  </si>
  <si>
    <t xml:space="preserve">企业职工基本
养老保险基金
</t>
  </si>
  <si>
    <t>城乡居民基本
养老保险基金</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</si>
  <si>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</si>
  <si>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</si>
  <si>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</si>
  <si>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</si>
  <si>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</si>
  <si>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</si>
  <si>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</si>
  <si>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</si>
  <si>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</si>
  <si>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</si>
  <si>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</si>
  <si>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</si>
  <si>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7.全国统筹调剂资金收入（省级专用）</t>
  </si>
  <si>
    <t xml:space="preserve">         8.全国统筹调剂资金收入（中央专用)</t>
  </si>
  <si>
    <t>二、支出</t>
  </si>
  <si>
    <t xml:space="preserve">    其中:1.社会保险待遇支出</t>
  </si>
  <si>
    <t xml:space="preserve">         2.转移支出</t>
  </si>
  <si>
    <t xml:space="preserve">         3.其他支出</t>
  </si>
  <si>
    <t xml:space="preserve">         4.全国统筹调剂资金支出（中央专用）</t>
  </si>
  <si>
    <t xml:space="preserve">         5.全国统筹调剂资金支出（省级专用）</t>
  </si>
  <si>
    <t>三、本年收支结余</t>
  </si>
  <si>
    <t>四、年末滚存结余</t>
  </si>
  <si>
    <t>表20-1</t>
  </si>
  <si>
    <t>2023年市本级政府债务预计限额情况表</t>
  </si>
  <si>
    <t>单位：亿元</t>
  </si>
  <si>
    <t>地区编码</t>
  </si>
  <si>
    <t>地区名称</t>
  </si>
  <si>
    <t>2022年债务限额</t>
  </si>
  <si>
    <t>预计2023年债务限额</t>
  </si>
  <si>
    <t>一般债务限额</t>
  </si>
  <si>
    <t>专项债务限额</t>
  </si>
  <si>
    <t>固原市本级</t>
  </si>
  <si>
    <t>表20-2</t>
  </si>
  <si>
    <t>2023年市本级政府债务执行情况表（预测数）</t>
  </si>
  <si>
    <t>2023年政府债务限额（预计数）</t>
  </si>
  <si>
    <t>2023年初政府债务余额</t>
  </si>
  <si>
    <t>当年增减变动情况</t>
  </si>
  <si>
    <t>2023年底政府债务余额（预计数）</t>
  </si>
  <si>
    <t>2023年政府债务还本</t>
  </si>
  <si>
    <t>2023年新增政府债务</t>
  </si>
  <si>
    <t>一般债务余额</t>
  </si>
  <si>
    <t>专项债务余额</t>
  </si>
  <si>
    <t>自有资金偿还</t>
  </si>
  <si>
    <t>再融资债券借新还旧</t>
  </si>
  <si>
    <t>2023年新增政府一般债务</t>
  </si>
  <si>
    <t>2023年新增政府专项债务</t>
  </si>
  <si>
    <t>自有资金偿还一般债券</t>
  </si>
  <si>
    <t>自有资金偿还专项债券</t>
  </si>
  <si>
    <t>外债</t>
  </si>
  <si>
    <t>表20-3</t>
  </si>
  <si>
    <t>2023年市本级政府债务结构期限情况表</t>
  </si>
  <si>
    <t>预计2023年政府债务余额</t>
  </si>
  <si>
    <t>债务结构</t>
  </si>
  <si>
    <t>债务期限</t>
  </si>
  <si>
    <t>地方政府债券</t>
  </si>
  <si>
    <t>2024年到期</t>
  </si>
  <si>
    <t>2025年到期</t>
  </si>
  <si>
    <t>2026年到期</t>
  </si>
  <si>
    <t>2027年及以后到期</t>
  </si>
  <si>
    <t>新增债券</t>
  </si>
  <si>
    <t>置换债券</t>
  </si>
  <si>
    <t>再融资债券</t>
  </si>
  <si>
    <t>表20-4</t>
  </si>
  <si>
    <t>2024年市本级政府债务预算安排情况表</t>
  </si>
  <si>
    <t>债券类型</t>
  </si>
  <si>
    <t>2024年到期债务情况</t>
  </si>
  <si>
    <t>2024年政府债务还本资金安排情况</t>
  </si>
  <si>
    <t>2024年政府债务资金安排情况</t>
  </si>
  <si>
    <t>到期本金</t>
  </si>
  <si>
    <t>应付利息</t>
  </si>
  <si>
    <t>预算安排偿还</t>
  </si>
  <si>
    <t>申请再融资债券借新还旧</t>
  </si>
  <si>
    <t>一般债券</t>
  </si>
  <si>
    <t>专项债券</t>
  </si>
  <si>
    <t>表20-5</t>
  </si>
  <si>
    <t>2024年市本级政府债务执行情况表（预测数）</t>
  </si>
  <si>
    <t>2024年政府债务限额（预计数）</t>
  </si>
  <si>
    <t>2024年初政府债务余额</t>
  </si>
  <si>
    <t>2024年底政府债务余额（预计数）</t>
  </si>
  <si>
    <t>2024年政府债务还本</t>
  </si>
  <si>
    <t>2024年新增政府债务</t>
  </si>
  <si>
    <t>2024年新增政府一般债务</t>
  </si>
  <si>
    <t>2024年新增政府专项债务</t>
  </si>
  <si>
    <t>表20-6</t>
  </si>
  <si>
    <t>2023年固原市本级政府债务还本付息执行情况表</t>
  </si>
  <si>
    <t>指标名称</t>
  </si>
  <si>
    <t>债券还本</t>
  </si>
  <si>
    <t xml:space="preserve">  债券还本总额</t>
  </si>
  <si>
    <t xml:space="preserve">   一般债券还本额</t>
  </si>
  <si>
    <t xml:space="preserve">   专项债券还本额</t>
  </si>
  <si>
    <t xml:space="preserve">  其中：（1）再融资债券还本额</t>
  </si>
  <si>
    <t xml:space="preserve">         再融资一般债券还本额</t>
  </si>
  <si>
    <t xml:space="preserve">         再融资专项债券还本额</t>
  </si>
  <si>
    <t xml:space="preserve">  其中：（2）财政资金还本额</t>
  </si>
  <si>
    <t xml:space="preserve">         财政资金一般债券还本额</t>
  </si>
  <si>
    <t xml:space="preserve">        财政资金专项债券还本额</t>
  </si>
  <si>
    <t>债券付息</t>
  </si>
  <si>
    <t xml:space="preserve">  债券付息总额</t>
  </si>
  <si>
    <t xml:space="preserve">   一般债券付息额</t>
  </si>
  <si>
    <t xml:space="preserve">   专项债券付息额</t>
  </si>
  <si>
    <t>债务余额</t>
  </si>
  <si>
    <t xml:space="preserve">  债务余额</t>
  </si>
  <si>
    <t xml:space="preserve">   一般债务余额</t>
  </si>
  <si>
    <t xml:space="preserve">   专项债务余额</t>
  </si>
  <si>
    <t>债券余额</t>
  </si>
  <si>
    <t xml:space="preserve">  债券余额</t>
  </si>
  <si>
    <t xml:space="preserve">   一般债券余额</t>
  </si>
  <si>
    <t xml:space="preserve">   专项债券余额</t>
  </si>
  <si>
    <t xml:space="preserve">  新增债券余额</t>
  </si>
  <si>
    <t xml:space="preserve">   新增一般债券余额</t>
  </si>
  <si>
    <t xml:space="preserve">   新增专项债券余额</t>
  </si>
  <si>
    <t xml:space="preserve">  置换债券余额</t>
  </si>
  <si>
    <t xml:space="preserve">   置换一般债券余额</t>
  </si>
  <si>
    <t xml:space="preserve">   置换专项债券余额</t>
  </si>
  <si>
    <t xml:space="preserve">  再融资债券余额</t>
  </si>
  <si>
    <t xml:space="preserve">   再融资一般债券余额</t>
  </si>
  <si>
    <t xml:space="preserve">   再融资专项债券余额</t>
  </si>
  <si>
    <t>表20-7</t>
  </si>
  <si>
    <t>2024年固原市本级政府债务还本付息预测表</t>
  </si>
  <si>
    <t>预计债券还本</t>
  </si>
  <si>
    <t>预计债券付息</t>
  </si>
  <si>
    <t>预计债务余额</t>
  </si>
  <si>
    <t>表20-8</t>
  </si>
  <si>
    <r>
      <rPr>
        <b/>
        <sz val="16"/>
        <rFont val="Calibri"/>
        <charset val="134"/>
      </rPr>
      <t>2023</t>
    </r>
    <r>
      <rPr>
        <b/>
        <sz val="16"/>
        <rFont val="宋体"/>
        <charset val="134"/>
      </rPr>
      <t>年偿还到期债券本金再融资债券明细表</t>
    </r>
  </si>
  <si>
    <t>序号</t>
  </si>
  <si>
    <t>债券名称</t>
  </si>
  <si>
    <t>发行日期</t>
  </si>
  <si>
    <t>期限（年）</t>
  </si>
  <si>
    <t>利率（%）</t>
  </si>
  <si>
    <t>支出日期</t>
  </si>
  <si>
    <t>支出地区</t>
  </si>
  <si>
    <t>支出金额</t>
  </si>
  <si>
    <t>偿还债券编码</t>
  </si>
  <si>
    <t>偿还债券名称</t>
  </si>
  <si>
    <t>偿还债券年限</t>
  </si>
  <si>
    <t>偿还债券利率（%）</t>
  </si>
  <si>
    <t>债务类型</t>
  </si>
  <si>
    <t>1</t>
  </si>
  <si>
    <t>2023年宁夏回族自治区政府再融资一般债券(六期)</t>
  </si>
  <si>
    <t>2023-09-27</t>
  </si>
  <si>
    <t>7年</t>
  </si>
  <si>
    <t>2.83</t>
  </si>
  <si>
    <t>20230929</t>
  </si>
  <si>
    <t>147541</t>
  </si>
  <si>
    <t>2018年宁夏回族自治区政府一般债券(六期)</t>
  </si>
  <si>
    <t>5年</t>
  </si>
  <si>
    <t>3.87</t>
  </si>
  <si>
    <t>一般债务</t>
  </si>
  <si>
    <t>2</t>
  </si>
  <si>
    <t>2023年宁夏回族自治区政府再融资一般债券(四期)</t>
  </si>
  <si>
    <t>2023-07-04</t>
  </si>
  <si>
    <t>2.55</t>
  </si>
  <si>
    <t>20230707</t>
  </si>
  <si>
    <t>147748</t>
  </si>
  <si>
    <t>2018年宁夏回族自治区政府一般债券(三期)</t>
  </si>
  <si>
    <t>3.6</t>
  </si>
  <si>
    <t>3</t>
  </si>
  <si>
    <t>4</t>
  </si>
  <si>
    <t>5</t>
  </si>
  <si>
    <t>6</t>
  </si>
  <si>
    <t>7</t>
  </si>
  <si>
    <t>8</t>
  </si>
  <si>
    <t>9</t>
  </si>
  <si>
    <t>1605512</t>
  </si>
  <si>
    <t>2016年宁夏回族自治区政府一般债券(十一期)-新</t>
  </si>
  <si>
    <t>2.91</t>
  </si>
  <si>
    <t>10</t>
  </si>
  <si>
    <t>2023年宁夏回族自治区政府再融资一般债券(三期)</t>
  </si>
  <si>
    <t>2023-06-13</t>
  </si>
  <si>
    <t>3年</t>
  </si>
  <si>
    <t>2.33</t>
  </si>
  <si>
    <t>20230619</t>
  </si>
  <si>
    <t>1605320</t>
  </si>
  <si>
    <t>2016年宁夏回族自治区政府一般债券(七期)</t>
  </si>
  <si>
    <t>3.27</t>
  </si>
  <si>
    <t>11</t>
  </si>
  <si>
    <t>12</t>
  </si>
  <si>
    <t>13</t>
  </si>
  <si>
    <t>14</t>
  </si>
  <si>
    <t>15</t>
  </si>
  <si>
    <t>16</t>
  </si>
  <si>
    <t>17</t>
  </si>
  <si>
    <t>18</t>
  </si>
  <si>
    <t>19</t>
  </si>
  <si>
    <t>2023年宁夏回族自治区政府再融资一般债券(五期)</t>
  </si>
  <si>
    <t>2023-07-24</t>
  </si>
  <si>
    <t>2.71</t>
  </si>
  <si>
    <t>20230727</t>
  </si>
  <si>
    <t>1806119</t>
  </si>
  <si>
    <t>2018年宁夏回族自治区政府定向承销发行置换一般债券(二期)</t>
  </si>
  <si>
    <t>3.86</t>
  </si>
  <si>
    <t>20</t>
  </si>
  <si>
    <t>21</t>
  </si>
  <si>
    <t>2016年宁夏回族自治区政府一般债券(十一期)-置换</t>
  </si>
  <si>
    <t>22</t>
  </si>
  <si>
    <t>23</t>
  </si>
  <si>
    <t>24</t>
  </si>
  <si>
    <t>表21</t>
  </si>
  <si>
    <t>重大项目支出预算绩效目标表</t>
  </si>
  <si>
    <t>开发区发展资金</t>
  </si>
  <si>
    <t>主管部门</t>
  </si>
  <si>
    <t>固原经济开发区财政局</t>
  </si>
  <si>
    <t>实施单位</t>
  </si>
  <si>
    <t>宁夏固原经济开发区管理委员会</t>
  </si>
  <si>
    <t>项目属性</t>
  </si>
  <si>
    <t>0101-一年期项目</t>
  </si>
  <si>
    <t>项目期限</t>
  </si>
  <si>
    <t>1年</t>
  </si>
  <si>
    <t>项目主管处室</t>
  </si>
  <si>
    <t>02-预算科</t>
  </si>
  <si>
    <t>项目年度金额</t>
  </si>
  <si>
    <t>年度总体绩效目标</t>
  </si>
  <si>
    <t>加快促进固原经济开发区优化提升和改革创新，推动“一区三园”高质量发展，加快配套完善园区电力、燃气、供热、供水、通讯、道路、消防、治污等“七通一平”基础设施，进一步优化营商环境，提升产业承载能力，提升招商引资及驻村队员工作效率。</t>
  </si>
  <si>
    <t>一级指标</t>
  </si>
  <si>
    <t>二级指标</t>
  </si>
  <si>
    <t>三级指标</t>
  </si>
  <si>
    <t>绩效值</t>
  </si>
  <si>
    <t>1-产出指标</t>
  </si>
  <si>
    <t>11-数量指标</t>
  </si>
  <si>
    <t>进入企业调研</t>
  </si>
  <si>
    <t>≥500次</t>
  </si>
  <si>
    <t>举办业务培训</t>
  </si>
  <si>
    <t>≥5次</t>
  </si>
  <si>
    <t>外出招商引资</t>
  </si>
  <si>
    <t>≥15次</t>
  </si>
  <si>
    <t>污水处理厂运行</t>
  </si>
  <si>
    <t>1个</t>
  </si>
  <si>
    <t>新签约招商项目</t>
  </si>
  <si>
    <t>10个</t>
  </si>
  <si>
    <t>职工误餐补助时间</t>
  </si>
  <si>
    <t>12个月</t>
  </si>
  <si>
    <t>12-质量指标</t>
  </si>
  <si>
    <t>工作经费保障率</t>
  </si>
  <si>
    <t>≥97%</t>
  </si>
  <si>
    <t>项目排查解决率</t>
  </si>
  <si>
    <t>100%</t>
  </si>
  <si>
    <t>业务管理质量达标率</t>
  </si>
  <si>
    <t>≥95%</t>
  </si>
  <si>
    <t>13-时效指标</t>
  </si>
  <si>
    <t>企业问题解决响应时效</t>
  </si>
  <si>
    <t>1小时</t>
  </si>
  <si>
    <t>园区基础设施维修响应时限</t>
  </si>
  <si>
    <t>14-成本指标</t>
  </si>
  <si>
    <t>党员干部培训成本</t>
  </si>
  <si>
    <t>2万元</t>
  </si>
  <si>
    <t>干部职工误餐补助</t>
  </si>
  <si>
    <t>12万元</t>
  </si>
  <si>
    <t>开发区优化和创新发展专项</t>
  </si>
  <si>
    <t>1319.999966万元</t>
  </si>
  <si>
    <t>驻村经费</t>
  </si>
  <si>
    <t>3.7万元</t>
  </si>
  <si>
    <t>2-效益指标</t>
  </si>
  <si>
    <t>21-经济效益</t>
  </si>
  <si>
    <t>项目资金使用效果</t>
  </si>
  <si>
    <t>增强</t>
  </si>
  <si>
    <t>资金使用效果</t>
  </si>
  <si>
    <t>22-社会效益</t>
  </si>
  <si>
    <t>改善企业投资环境，推动企业平稳运行</t>
  </si>
  <si>
    <t>有所提高</t>
  </si>
  <si>
    <t>干部职工队伍建设</t>
  </si>
  <si>
    <t>稳定</t>
  </si>
  <si>
    <t>提高企业政策知晓程度</t>
  </si>
  <si>
    <t>明显提升</t>
  </si>
  <si>
    <t>23-生态效益</t>
  </si>
  <si>
    <t>入园企业环评审查率</t>
  </si>
  <si>
    <t>园区生态环境质量</t>
  </si>
  <si>
    <t>提高</t>
  </si>
  <si>
    <t>24-可持续影响</t>
  </si>
  <si>
    <t>单位业务可持续发展影响</t>
  </si>
  <si>
    <t>中长期</t>
  </si>
  <si>
    <t>推动园区企业平稳运行，做大做强主导产业</t>
  </si>
  <si>
    <t>3-满意度指标</t>
  </si>
  <si>
    <t>31-服务对象满意度</t>
  </si>
  <si>
    <t>社会各阶层及服务对象的满意程度</t>
  </si>
</sst>
</file>

<file path=xl/styles.xml><?xml version="1.0" encoding="utf-8"?>
<styleSheet xmlns="http://schemas.openxmlformats.org/spreadsheetml/2006/main">
  <numFmts count="14">
    <numFmt numFmtId="176" formatCode="#,##0_ ;[Red]\-#,##0\ "/>
    <numFmt numFmtId="177" formatCode="#,##0.00_);[Red]\(#,##0.00\)"/>
    <numFmt numFmtId="178" formatCode="0_ "/>
    <numFmt numFmtId="179" formatCode="0.0_ "/>
    <numFmt numFmtId="41" formatCode="_ * #,##0_ ;_ * \-#,##0_ ;_ * &quot;-&quot;_ ;_ @_ "/>
    <numFmt numFmtId="44" formatCode="_ &quot;￥&quot;* #,##0.00_ ;_ &quot;￥&quot;* \-#,##0.00_ ;_ &quot;￥&quot;* &quot;-&quot;??_ ;_ @_ "/>
    <numFmt numFmtId="180" formatCode="0.000000;[Red]0.000000"/>
    <numFmt numFmtId="42" formatCode="_ &quot;￥&quot;* #,##0_ ;_ &quot;￥&quot;* \-#,##0_ ;_ &quot;￥&quot;* &quot;-&quot;_ ;_ @_ "/>
    <numFmt numFmtId="43" formatCode="_ * #,##0.00_ ;_ * \-#,##0.00_ ;_ * &quot;-&quot;??_ ;_ @_ "/>
    <numFmt numFmtId="181" formatCode="0.00_);[Red]\(0.00\)"/>
    <numFmt numFmtId="182" formatCode="0.0000_);[Red]\(0.0000\)"/>
    <numFmt numFmtId="183" formatCode="_ * #,##0_ ;_ * \-#,##0_ ;_ * &quot;-&quot;??_ ;_ @_ "/>
    <numFmt numFmtId="184" formatCode="0.00_ "/>
    <numFmt numFmtId="185" formatCode="#,##0_ "/>
  </numFmts>
  <fonts count="93">
    <font>
      <sz val="12"/>
      <name val="宋体"/>
      <charset val="134"/>
    </font>
    <font>
      <sz val="10"/>
      <name val="Arial"/>
      <charset val="0"/>
    </font>
    <font>
      <sz val="10"/>
      <name val="宋体"/>
      <charset val="0"/>
    </font>
    <font>
      <sz val="20"/>
      <color rgb="FF000000"/>
      <name val="宋体"/>
      <charset val="0"/>
    </font>
    <font>
      <sz val="20"/>
      <color indexed="8"/>
      <name val="Calibri"/>
      <charset val="0"/>
    </font>
    <font>
      <b/>
      <sz val="9"/>
      <color indexed="8"/>
      <name val="宋体"/>
      <charset val="0"/>
    </font>
    <font>
      <sz val="9"/>
      <color indexed="8"/>
      <name val="宋体"/>
      <charset val="0"/>
    </font>
    <font>
      <sz val="11"/>
      <color indexed="8"/>
      <name val="Calibri"/>
      <charset val="0"/>
    </font>
    <font>
      <sz val="11"/>
      <color indexed="8"/>
      <name val="宋体"/>
      <charset val="134"/>
      <scheme val="minor"/>
    </font>
    <font>
      <sz val="16"/>
      <name val="黑体"/>
      <charset val="134"/>
    </font>
    <font>
      <b/>
      <sz val="16"/>
      <name val="Calibri"/>
      <charset val="134"/>
    </font>
    <font>
      <sz val="11"/>
      <name val="宋体"/>
      <charset val="134"/>
    </font>
    <font>
      <b/>
      <sz val="11"/>
      <color rgb="FF000000"/>
      <name val="Calibri"/>
      <charset val="134"/>
    </font>
    <font>
      <sz val="11"/>
      <color rgb="FF000000"/>
      <name val="Calibri"/>
      <charset val="134"/>
    </font>
    <font>
      <sz val="11"/>
      <color indexed="8"/>
      <name val="宋体"/>
      <charset val="1"/>
      <scheme val="minor"/>
    </font>
    <font>
      <b/>
      <sz val="15"/>
      <name val="SimSun"/>
      <charset val="134"/>
    </font>
    <font>
      <sz val="9"/>
      <name val="SimSun"/>
      <charset val="134"/>
    </font>
    <font>
      <b/>
      <sz val="11"/>
      <name val="SimSun"/>
      <charset val="134"/>
    </font>
    <font>
      <sz val="11"/>
      <name val="SimSun"/>
      <charset val="134"/>
    </font>
    <font>
      <sz val="18"/>
      <name val="方正小标宋_GBK"/>
      <charset val="134"/>
    </font>
    <font>
      <sz val="12"/>
      <name val="宋体"/>
      <charset val="1"/>
    </font>
    <font>
      <sz val="12"/>
      <name val="宋体"/>
      <charset val="0"/>
    </font>
    <font>
      <b/>
      <sz val="15"/>
      <name val="微软雅黑"/>
      <charset val="134"/>
    </font>
    <font>
      <b/>
      <sz val="12"/>
      <name val="宋体"/>
      <charset val="134"/>
    </font>
    <font>
      <sz val="12"/>
      <color indexed="8"/>
      <name val="宋体"/>
      <charset val="1"/>
    </font>
    <font>
      <b/>
      <sz val="11"/>
      <color indexed="8"/>
      <name val="宋体"/>
      <charset val="1"/>
      <scheme val="minor"/>
    </font>
    <font>
      <sz val="16"/>
      <name val="方正小标宋_GBK"/>
      <charset val="134"/>
    </font>
    <font>
      <sz val="9"/>
      <name val="宋体"/>
      <charset val="134"/>
    </font>
    <font>
      <sz val="11"/>
      <color theme="1"/>
      <name val="宋体"/>
      <charset val="134"/>
      <scheme val="minor"/>
    </font>
    <font>
      <b/>
      <sz val="11"/>
      <color theme="1"/>
      <name val="宋体"/>
      <charset val="134"/>
      <scheme val="minor"/>
    </font>
    <font>
      <sz val="12"/>
      <name val="黑体"/>
      <charset val="0"/>
    </font>
    <font>
      <b/>
      <sz val="18"/>
      <color indexed="8"/>
      <name val="宋体"/>
      <charset val="1"/>
    </font>
    <font>
      <b/>
      <sz val="18"/>
      <name val="宋体"/>
      <charset val="1"/>
    </font>
    <font>
      <sz val="10"/>
      <name val="宋体"/>
      <charset val="1"/>
    </font>
    <font>
      <b/>
      <sz val="12"/>
      <color indexed="8"/>
      <name val="宋体"/>
      <charset val="1"/>
    </font>
    <font>
      <sz val="10"/>
      <color indexed="8"/>
      <name val="宋体"/>
      <charset val="1"/>
    </font>
    <font>
      <b/>
      <sz val="18"/>
      <name val="宋体"/>
      <charset val="134"/>
    </font>
    <font>
      <b/>
      <sz val="20"/>
      <name val="微软雅黑"/>
      <charset val="0"/>
    </font>
    <font>
      <sz val="12"/>
      <name val="微软雅黑"/>
      <charset val="0"/>
    </font>
    <font>
      <b/>
      <sz val="12"/>
      <name val="微软雅黑"/>
      <charset val="0"/>
    </font>
    <font>
      <b/>
      <sz val="14"/>
      <name val="宋体"/>
      <charset val="134"/>
    </font>
    <font>
      <b/>
      <sz val="16"/>
      <color indexed="8"/>
      <name val="宋体"/>
      <charset val="0"/>
    </font>
    <font>
      <b/>
      <sz val="9"/>
      <color indexed="8"/>
      <name val="Calibri"/>
      <charset val="0"/>
    </font>
    <font>
      <b/>
      <sz val="9"/>
      <color indexed="8"/>
      <name val="Arial"/>
      <charset val="0"/>
    </font>
    <font>
      <sz val="11"/>
      <name val="宋体"/>
      <charset val="134"/>
      <scheme val="minor"/>
    </font>
    <font>
      <b/>
      <sz val="16"/>
      <name val="黑体"/>
      <charset val="134"/>
    </font>
    <font>
      <b/>
      <sz val="11"/>
      <name val="宋体"/>
      <charset val="134"/>
      <scheme val="minor"/>
    </font>
    <font>
      <sz val="12"/>
      <name val="黑体"/>
      <charset val="134"/>
    </font>
    <font>
      <b/>
      <sz val="18"/>
      <name val="黑体"/>
      <charset val="134"/>
    </font>
    <font>
      <b/>
      <sz val="11"/>
      <name val="宋体"/>
      <charset val="134"/>
    </font>
    <font>
      <b/>
      <sz val="11"/>
      <color indexed="8"/>
      <name val="宋体"/>
      <charset val="134"/>
    </font>
    <font>
      <sz val="11"/>
      <color indexed="8"/>
      <name val="宋体"/>
      <charset val="134"/>
    </font>
    <font>
      <sz val="11"/>
      <color rgb="FFFF0000"/>
      <name val="宋体"/>
      <charset val="134"/>
      <scheme val="minor"/>
    </font>
    <font>
      <b/>
      <sz val="11"/>
      <name val="黑体"/>
      <charset val="134"/>
    </font>
    <font>
      <sz val="11"/>
      <color theme="1"/>
      <name val="宋体"/>
      <charset val="134"/>
      <scheme val="minor"/>
    </font>
    <font>
      <sz val="11"/>
      <color theme="1"/>
      <name val="宋体"/>
      <charset val="134"/>
    </font>
    <font>
      <sz val="11"/>
      <color rgb="FFFF0000"/>
      <name val="宋体"/>
      <charset val="134"/>
    </font>
    <font>
      <sz val="12"/>
      <name val="宋体"/>
      <charset val="134"/>
      <scheme val="minor"/>
    </font>
    <font>
      <b/>
      <sz val="12"/>
      <color indexed="10"/>
      <name val="宋体"/>
      <charset val="134"/>
    </font>
    <font>
      <sz val="12"/>
      <color theme="1"/>
      <name val="宋体"/>
      <charset val="134"/>
      <scheme val="minor"/>
    </font>
    <font>
      <b/>
      <sz val="18"/>
      <color indexed="10"/>
      <name val="宋体"/>
      <charset val="134"/>
    </font>
    <font>
      <sz val="18"/>
      <name val="方正小标宋简体"/>
      <charset val="134"/>
    </font>
    <font>
      <sz val="10"/>
      <name val="宋体"/>
      <charset val="134"/>
    </font>
    <font>
      <sz val="12"/>
      <color theme="1"/>
      <name val="宋体"/>
      <charset val="134"/>
    </font>
    <font>
      <sz val="11"/>
      <name val="Times New Roman"/>
      <charset val="0"/>
    </font>
    <font>
      <sz val="10"/>
      <color theme="1"/>
      <name val="宋体"/>
      <charset val="134"/>
      <scheme val="minor"/>
    </font>
    <font>
      <sz val="30"/>
      <name val="方正小标宋简体"/>
      <charset val="134"/>
    </font>
    <font>
      <sz val="20"/>
      <name val="宋体"/>
      <charset val="134"/>
    </font>
    <font>
      <b/>
      <sz val="11"/>
      <color rgb="FFFA7D00"/>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sz val="11"/>
      <color rgb="FFFF0000"/>
      <name val="宋体"/>
      <charset val="0"/>
      <scheme val="minor"/>
    </font>
    <font>
      <b/>
      <sz val="13"/>
      <color theme="3"/>
      <name val="宋体"/>
      <charset val="134"/>
      <scheme val="minor"/>
    </font>
    <font>
      <b/>
      <sz val="16"/>
      <name val="宋体"/>
      <charset val="134"/>
    </font>
    <font>
      <b/>
      <sz val="14"/>
      <name val="Times New Roman"/>
      <charset val="0"/>
    </font>
    <font>
      <b/>
      <sz val="12"/>
      <name val="Times New Roman"/>
      <charset val="0"/>
    </font>
    <font>
      <b/>
      <sz val="18"/>
      <color rgb="FFFF0000"/>
      <name val="宋体"/>
      <charset val="134"/>
    </font>
    <font>
      <sz val="18"/>
      <color rgb="FFFF0000"/>
      <name val="方正小标宋简体"/>
      <charset val="134"/>
    </font>
    <font>
      <b/>
      <sz val="12"/>
      <name val="宋体"/>
      <charset val="0"/>
    </font>
  </fonts>
  <fills count="41">
    <fill>
      <patternFill patternType="none"/>
    </fill>
    <fill>
      <patternFill patternType="gray125"/>
    </fill>
    <fill>
      <patternFill patternType="solid">
        <fgColor rgb="FFDEDEDE"/>
        <bgColor rgb="FFDEDEDE"/>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D8D8D8"/>
        <bgColor indexed="64"/>
      </patternFill>
    </fill>
    <fill>
      <patternFill patternType="solid">
        <fgColor rgb="FFCCFFCC"/>
        <bgColor indexed="64"/>
      </patternFill>
    </fill>
    <fill>
      <patternFill patternType="solid">
        <fgColor rgb="FF92D050"/>
        <bgColor indexed="64"/>
      </patternFill>
    </fill>
    <fill>
      <patternFill patternType="solid">
        <fgColor rgb="FFFFFF00"/>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rgb="FFFFFFCC"/>
        <bgColor indexed="64"/>
      </patternFill>
    </fill>
  </fills>
  <borders count="35">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thin">
        <color indexed="8"/>
      </bottom>
      <diagonal/>
    </border>
    <border>
      <left style="thin">
        <color indexed="8"/>
      </left>
      <right style="thin">
        <color auto="true"/>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true"/>
      </top>
      <bottom style="thin">
        <color indexed="8"/>
      </bottom>
      <diagonal/>
    </border>
    <border>
      <left style="thin">
        <color auto="true"/>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108">
    <xf numFmtId="0" fontId="0" fillId="0" borderId="0"/>
    <xf numFmtId="0" fontId="21"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0" fillId="0" borderId="0"/>
    <xf numFmtId="0" fontId="71" fillId="22" borderId="0" applyNumberFormat="false" applyBorder="false" applyAlignment="false" applyProtection="false">
      <alignment vertical="center"/>
    </xf>
    <xf numFmtId="0" fontId="70" fillId="25" borderId="0" applyNumberFormat="false" applyBorder="false" applyAlignment="false" applyProtection="false">
      <alignment vertical="center"/>
    </xf>
    <xf numFmtId="0" fontId="71" fillId="24" borderId="0" applyNumberFormat="false" applyBorder="false" applyAlignment="false" applyProtection="false">
      <alignment vertical="center"/>
    </xf>
    <xf numFmtId="0" fontId="0" fillId="0" borderId="0">
      <alignment vertical="center"/>
    </xf>
    <xf numFmtId="0" fontId="70" fillId="21" borderId="0" applyNumberFormat="false" applyBorder="false" applyAlignment="false" applyProtection="false">
      <alignment vertical="center"/>
    </xf>
    <xf numFmtId="0" fontId="71" fillId="26" borderId="0" applyNumberFormat="false" applyBorder="false" applyAlignment="false" applyProtection="false">
      <alignment vertical="center"/>
    </xf>
    <xf numFmtId="0" fontId="76" fillId="19" borderId="0" applyNumberFormat="false" applyBorder="false" applyAlignment="false" applyProtection="false">
      <alignment vertical="center"/>
    </xf>
    <xf numFmtId="0" fontId="71" fillId="18"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0" fontId="75" fillId="17" borderId="0" applyNumberFormat="false" applyBorder="false" applyAlignment="false" applyProtection="false">
      <alignment vertical="center"/>
    </xf>
    <xf numFmtId="0" fontId="80" fillId="0" borderId="0" applyNumberFormat="false" applyFill="false" applyBorder="false" applyAlignment="false" applyProtection="false">
      <alignment vertical="center"/>
    </xf>
    <xf numFmtId="0" fontId="27" fillId="0" borderId="0"/>
    <xf numFmtId="0" fontId="71"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1" fillId="31" borderId="0" applyNumberFormat="false" applyBorder="false" applyAlignment="false" applyProtection="false">
      <alignment vertical="center"/>
    </xf>
    <xf numFmtId="0" fontId="81" fillId="0" borderId="33" applyNumberFormat="false" applyFill="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70" fillId="23" borderId="0" applyNumberFormat="false" applyBorder="false" applyAlignment="false" applyProtection="false">
      <alignment vertical="center"/>
    </xf>
    <xf numFmtId="0" fontId="71" fillId="34" borderId="0" applyNumberFormat="false" applyBorder="false" applyAlignment="false" applyProtection="false">
      <alignment vertical="center"/>
    </xf>
    <xf numFmtId="41" fontId="54" fillId="0" borderId="0" applyFont="false" applyFill="false" applyBorder="false" applyAlignment="false" applyProtection="false">
      <alignment vertical="center"/>
    </xf>
    <xf numFmtId="0" fontId="82"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 fillId="0" borderId="0"/>
    <xf numFmtId="43" fontId="0" fillId="0" borderId="0" applyFont="false" applyFill="false" applyBorder="false" applyAlignment="false" applyProtection="false">
      <alignment vertical="center"/>
    </xf>
    <xf numFmtId="0" fontId="83" fillId="37" borderId="0" applyNumberFormat="false" applyBorder="false" applyAlignment="false" applyProtection="false">
      <alignment vertical="center"/>
    </xf>
    <xf numFmtId="44" fontId="54" fillId="0" borderId="0" applyFont="false" applyFill="false" applyBorder="false" applyAlignment="false" applyProtection="false">
      <alignment vertical="center"/>
    </xf>
    <xf numFmtId="0" fontId="70" fillId="20" borderId="0" applyNumberFormat="false" applyBorder="false" applyAlignment="false" applyProtection="false">
      <alignment vertical="center"/>
    </xf>
    <xf numFmtId="0" fontId="71" fillId="28"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7" fillId="0" borderId="31" applyNumberFormat="false" applyFill="false" applyAlignment="false" applyProtection="false">
      <alignment vertical="center"/>
    </xf>
    <xf numFmtId="0" fontId="84" fillId="38" borderId="27" applyNumberFormat="false" applyAlignment="false" applyProtection="false">
      <alignment vertical="center"/>
    </xf>
    <xf numFmtId="0" fontId="71" fillId="3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70" fillId="29" borderId="0" applyNumberFormat="false" applyBorder="false" applyAlignment="false" applyProtection="false">
      <alignment vertical="center"/>
    </xf>
    <xf numFmtId="0" fontId="54" fillId="0" borderId="0"/>
    <xf numFmtId="0" fontId="85" fillId="0" borderId="0" applyNumberFormat="false" applyFill="false" applyBorder="false" applyAlignment="false" applyProtection="false">
      <alignment vertical="center"/>
    </xf>
    <xf numFmtId="0" fontId="54" fillId="40" borderId="34" applyNumberFormat="false" applyFont="false" applyAlignment="false" applyProtection="false">
      <alignment vertical="center"/>
    </xf>
    <xf numFmtId="0" fontId="71" fillId="35" borderId="0" applyNumberFormat="false" applyBorder="false" applyAlignment="false" applyProtection="false">
      <alignment vertical="center"/>
    </xf>
    <xf numFmtId="0" fontId="86" fillId="0" borderId="31" applyNumberFormat="false" applyFill="false" applyAlignment="false" applyProtection="false">
      <alignment vertical="center"/>
    </xf>
    <xf numFmtId="43" fontId="54" fillId="0" borderId="0" applyFont="false" applyFill="false" applyBorder="false" applyAlignment="false" applyProtection="false">
      <alignment vertical="center"/>
    </xf>
    <xf numFmtId="0" fontId="70" fillId="33" borderId="0" applyNumberFormat="false" applyBorder="false" applyAlignment="false" applyProtection="false">
      <alignment vertical="center"/>
    </xf>
    <xf numFmtId="9" fontId="54"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9" fillId="0" borderId="32"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74" fillId="0" borderId="0" applyNumberFormat="false" applyFill="false" applyBorder="false" applyAlignment="false" applyProtection="false">
      <alignment vertical="center"/>
    </xf>
    <xf numFmtId="0" fontId="73" fillId="0" borderId="30" applyNumberFormat="false" applyFill="false" applyAlignment="false" applyProtection="false">
      <alignment vertical="center"/>
    </xf>
    <xf numFmtId="0" fontId="72" fillId="10" borderId="29" applyNumberFormat="false" applyAlignment="false" applyProtection="false">
      <alignment vertical="center"/>
    </xf>
    <xf numFmtId="0" fontId="70" fillId="36" borderId="0" applyNumberFormat="false" applyBorder="false" applyAlignment="false" applyProtection="false">
      <alignment vertical="center"/>
    </xf>
    <xf numFmtId="0" fontId="71" fillId="15" borderId="0" applyNumberFormat="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70" fillId="27" borderId="0" applyNumberFormat="false" applyBorder="false" applyAlignment="false" applyProtection="false">
      <alignment vertical="center"/>
    </xf>
    <xf numFmtId="42" fontId="54" fillId="0" borderId="0" applyFont="false" applyFill="false" applyBorder="false" applyAlignment="false" applyProtection="false">
      <alignment vertical="center"/>
    </xf>
    <xf numFmtId="0" fontId="70" fillId="32" borderId="0" applyNumberFormat="false" applyBorder="false" applyAlignment="false" applyProtection="false">
      <alignment vertical="center"/>
    </xf>
    <xf numFmtId="0" fontId="71" fillId="14"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70" fillId="13" borderId="0" applyNumberFormat="false" applyBorder="false" applyAlignment="false" applyProtection="false">
      <alignment vertical="center"/>
    </xf>
    <xf numFmtId="0" fontId="70" fillId="12"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69" fillId="11" borderId="28" applyNumberFormat="false" applyAlignment="false" applyProtection="false">
      <alignment vertical="center"/>
    </xf>
    <xf numFmtId="43" fontId="0" fillId="0" borderId="0" applyFont="false" applyFill="false" applyBorder="false" applyAlignment="false" applyProtection="false">
      <alignment vertical="center"/>
    </xf>
    <xf numFmtId="0" fontId="68" fillId="10" borderId="27" applyNumberFormat="false" applyAlignment="false" applyProtection="false">
      <alignment vertical="center"/>
    </xf>
    <xf numFmtId="43" fontId="0" fillId="0" borderId="0" applyFont="false" applyFill="false" applyBorder="false" applyAlignment="false" applyProtection="false">
      <alignment vertical="center"/>
    </xf>
    <xf numFmtId="0" fontId="70"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cellStyleXfs>
  <cellXfs count="615">
    <xf numFmtId="0" fontId="0" fillId="0" borderId="0" xfId="0"/>
    <xf numFmtId="0" fontId="1" fillId="0" borderId="0" xfId="0" applyFont="true" applyFill="true" applyBorder="true" applyAlignment="true"/>
    <xf numFmtId="0" fontId="2" fillId="0" borderId="0" xfId="0" applyFont="true" applyFill="true" applyBorder="true" applyAlignment="true"/>
    <xf numFmtId="0" fontId="3" fillId="0" borderId="1" xfId="0" applyNumberFormat="true" applyFont="true" applyFill="true" applyBorder="true" applyAlignment="true" applyProtection="true">
      <alignment horizontal="center" vertical="center"/>
    </xf>
    <xf numFmtId="0" fontId="4" fillId="0" borderId="1" xfId="0" applyNumberFormat="true" applyFont="true" applyFill="true" applyBorder="true" applyAlignment="true" applyProtection="true">
      <alignment horizontal="center" vertical="center"/>
    </xf>
    <xf numFmtId="0" fontId="5" fillId="0" borderId="1" xfId="0" applyNumberFormat="true" applyFont="true" applyFill="true" applyBorder="true" applyAlignment="true" applyProtection="true">
      <alignment horizontal="right" vertical="center"/>
    </xf>
    <xf numFmtId="0" fontId="5" fillId="0" borderId="1" xfId="0" applyNumberFormat="true" applyFont="true" applyFill="true" applyBorder="true" applyAlignment="true" applyProtection="true">
      <alignment horizontal="center" vertical="center"/>
    </xf>
    <xf numFmtId="0" fontId="6" fillId="0" borderId="1" xfId="0" applyNumberFormat="true" applyFont="true" applyFill="true" applyBorder="true" applyAlignment="true" applyProtection="true">
      <alignment horizontal="center" vertical="center"/>
    </xf>
    <xf numFmtId="0" fontId="5" fillId="0" borderId="1" xfId="0" applyNumberFormat="true" applyFont="true" applyFill="true" applyBorder="true" applyAlignment="true" applyProtection="true">
      <alignment horizontal="center" vertical="center" wrapText="true"/>
    </xf>
    <xf numFmtId="0" fontId="6" fillId="0" borderId="1" xfId="0" applyNumberFormat="true" applyFont="true" applyFill="true" applyBorder="true" applyAlignment="true" applyProtection="true">
      <alignment horizontal="left" vertical="center" wrapText="true"/>
    </xf>
    <xf numFmtId="0" fontId="6" fillId="0" borderId="1" xfId="0" applyNumberFormat="true" applyFont="true" applyFill="true" applyBorder="true" applyAlignment="true" applyProtection="true">
      <alignment horizontal="left" vertical="center"/>
    </xf>
    <xf numFmtId="0" fontId="7" fillId="0" borderId="0" xfId="0" applyNumberFormat="true" applyFont="true" applyFill="true" applyBorder="true" applyAlignment="true" applyProtection="true">
      <alignment horizontal="center"/>
    </xf>
    <xf numFmtId="180" fontId="6" fillId="0" borderId="1" xfId="0" applyNumberFormat="true" applyFont="true" applyFill="true" applyBorder="true" applyAlignment="true" applyProtection="true">
      <alignment horizontal="center" vertical="center"/>
    </xf>
    <xf numFmtId="0" fontId="8" fillId="0" borderId="0" xfId="0" applyFont="true" applyFill="true" applyAlignment="true">
      <alignment vertical="center" wrapText="true"/>
    </xf>
    <xf numFmtId="0" fontId="9" fillId="0" borderId="0" xfId="0" applyFont="true" applyFill="true" applyAlignment="true" applyProtection="true">
      <alignment horizontal="left" vertical="center"/>
    </xf>
    <xf numFmtId="0" fontId="10" fillId="0" borderId="0" xfId="0" applyFont="true" applyFill="true" applyAlignment="true">
      <alignment horizontal="center" vertical="center" wrapText="true"/>
    </xf>
    <xf numFmtId="0" fontId="11" fillId="0" borderId="0" xfId="0" applyFont="true" applyFill="true" applyAlignment="true">
      <alignment vertical="center" wrapText="true"/>
    </xf>
    <xf numFmtId="0" fontId="12" fillId="0" borderId="2"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2" xfId="0" applyFont="true" applyFill="true" applyBorder="true" applyAlignment="true">
      <alignment horizontal="left" vertical="center" wrapText="true"/>
    </xf>
    <xf numFmtId="43" fontId="13" fillId="0" borderId="2" xfId="72" applyFont="true" applyFill="true" applyBorder="true" applyAlignment="true">
      <alignment horizontal="center" vertical="center" wrapText="true"/>
    </xf>
    <xf numFmtId="0" fontId="8" fillId="0" borderId="2" xfId="0" applyFont="true" applyFill="true" applyBorder="true" applyAlignment="true">
      <alignment horizontal="right" vertical="center" wrapText="true"/>
    </xf>
    <xf numFmtId="4" fontId="8" fillId="0" borderId="2" xfId="0" applyNumberFormat="true" applyFont="true" applyFill="true" applyBorder="true" applyAlignment="true">
      <alignment horizontal="right" vertical="center" wrapText="true"/>
    </xf>
    <xf numFmtId="0" fontId="14" fillId="0" borderId="0" xfId="0" applyFont="true" applyFill="true" applyAlignment="true">
      <alignment vertical="center"/>
    </xf>
    <xf numFmtId="0" fontId="9" fillId="0" borderId="0" xfId="0" applyFont="true" applyFill="true" applyBorder="true" applyAlignment="true" applyProtection="true">
      <alignment vertical="center"/>
    </xf>
    <xf numFmtId="0" fontId="15" fillId="0" borderId="0" xfId="0" applyFont="true" applyFill="true" applyBorder="true" applyAlignment="true">
      <alignment horizontal="center" vertical="center" wrapText="true"/>
    </xf>
    <xf numFmtId="0" fontId="16" fillId="0" borderId="0" xfId="0" applyFont="true" applyFill="true" applyBorder="true" applyAlignment="true">
      <alignment vertical="center" wrapText="true"/>
    </xf>
    <xf numFmtId="0" fontId="16" fillId="0" borderId="0" xfId="0" applyFont="true" applyFill="true" applyBorder="true" applyAlignment="true">
      <alignment horizontal="right" vertical="center" wrapText="true"/>
    </xf>
    <xf numFmtId="0" fontId="17" fillId="0" borderId="3" xfId="0" applyFont="true" applyFill="true" applyBorder="true" applyAlignment="true">
      <alignment horizontal="center" vertical="center" wrapText="true"/>
    </xf>
    <xf numFmtId="0" fontId="17" fillId="0" borderId="4" xfId="0" applyFont="true" applyFill="true" applyBorder="true" applyAlignment="true">
      <alignment horizontal="center" vertical="center" wrapText="true"/>
    </xf>
    <xf numFmtId="0" fontId="17" fillId="2" borderId="5" xfId="0" applyFont="true" applyFill="true" applyBorder="true" applyAlignment="true">
      <alignment vertical="center" wrapText="true"/>
    </xf>
    <xf numFmtId="4" fontId="18" fillId="2" borderId="5" xfId="0" applyNumberFormat="true" applyFont="true" applyFill="true" applyBorder="true" applyAlignment="true">
      <alignment horizontal="right" vertical="center" wrapText="true"/>
    </xf>
    <xf numFmtId="0" fontId="18" fillId="0" borderId="5" xfId="0" applyFont="true" applyFill="true" applyBorder="true" applyAlignment="true">
      <alignment vertical="center" wrapText="true"/>
    </xf>
    <xf numFmtId="4" fontId="18" fillId="0" borderId="5" xfId="0" applyNumberFormat="true" applyFont="true" applyFill="true" applyBorder="true" applyAlignment="true">
      <alignment horizontal="right" vertical="center" wrapText="true"/>
    </xf>
    <xf numFmtId="0" fontId="0" fillId="0" borderId="0" xfId="0" applyFont="true" applyFill="true" applyBorder="true" applyAlignment="true" applyProtection="true">
      <alignment vertical="center"/>
    </xf>
    <xf numFmtId="0" fontId="19" fillId="0" borderId="0" xfId="0" applyFont="true" applyFill="true" applyBorder="true" applyAlignment="true" applyProtection="true">
      <alignment horizontal="center" vertical="center"/>
    </xf>
    <xf numFmtId="0" fontId="20" fillId="0" borderId="0" xfId="0" applyFont="true" applyFill="true" applyBorder="true" applyAlignment="true" applyProtection="true">
      <alignment vertical="center"/>
    </xf>
    <xf numFmtId="0" fontId="20" fillId="0" borderId="6" xfId="0" applyFont="true" applyFill="true" applyBorder="true" applyAlignment="true" applyProtection="true">
      <alignment horizontal="center" vertical="center"/>
    </xf>
    <xf numFmtId="0" fontId="20" fillId="0" borderId="6" xfId="0" applyFont="true" applyFill="true" applyBorder="true" applyAlignment="true" applyProtection="true">
      <alignment horizontal="center" vertical="center" wrapText="true"/>
    </xf>
    <xf numFmtId="0" fontId="20" fillId="0" borderId="7" xfId="0" applyFont="true" applyFill="true" applyBorder="true" applyAlignment="true" applyProtection="true">
      <alignment horizontal="center" vertical="center" wrapText="true"/>
    </xf>
    <xf numFmtId="0" fontId="20" fillId="0" borderId="8" xfId="0" applyFont="true" applyFill="true" applyBorder="true" applyAlignment="true" applyProtection="true">
      <alignment horizontal="center" vertical="center" wrapText="true"/>
    </xf>
    <xf numFmtId="0" fontId="20" fillId="0" borderId="9" xfId="0" applyFont="true" applyFill="true" applyBorder="true" applyAlignment="true" applyProtection="true">
      <alignment horizontal="center" vertical="center"/>
    </xf>
    <xf numFmtId="0" fontId="20" fillId="0" borderId="9" xfId="0" applyFont="true" applyFill="true" applyBorder="true" applyAlignment="true" applyProtection="true">
      <alignment horizontal="center" vertical="center" wrapText="true"/>
    </xf>
    <xf numFmtId="0" fontId="20" fillId="0" borderId="10" xfId="0" applyFont="true" applyFill="true" applyBorder="true" applyAlignment="true" applyProtection="true">
      <alignment horizontal="center" vertical="center" wrapText="true"/>
    </xf>
    <xf numFmtId="0" fontId="20" fillId="0" borderId="11" xfId="0" applyFont="true" applyFill="true" applyBorder="true" applyAlignment="true" applyProtection="true">
      <alignment horizontal="center" vertical="center" wrapText="true"/>
    </xf>
    <xf numFmtId="0" fontId="20" fillId="0" borderId="2" xfId="0" applyFont="true" applyFill="true" applyBorder="true" applyAlignment="true" applyProtection="true">
      <alignment horizontal="center" vertical="center" wrapText="true"/>
    </xf>
    <xf numFmtId="0" fontId="20" fillId="0" borderId="12" xfId="0" applyFont="true" applyFill="true" applyBorder="true" applyAlignment="true" applyProtection="true">
      <alignment horizontal="center" vertical="center"/>
    </xf>
    <xf numFmtId="0" fontId="20" fillId="0" borderId="12" xfId="0" applyFont="true" applyFill="true" applyBorder="true" applyAlignment="true" applyProtection="true">
      <alignment horizontal="center" vertical="center" wrapText="true"/>
    </xf>
    <xf numFmtId="0" fontId="20" fillId="0" borderId="2" xfId="0" applyFont="true" applyFill="true" applyBorder="true" applyAlignment="true" applyProtection="true">
      <alignment vertical="center" wrapText="true"/>
    </xf>
    <xf numFmtId="43" fontId="20" fillId="0" borderId="2" xfId="72" applyFont="true" applyFill="true" applyBorder="true" applyAlignment="true" applyProtection="true">
      <alignment vertical="center"/>
    </xf>
    <xf numFmtId="0" fontId="20" fillId="0" borderId="2" xfId="0" applyFont="true" applyFill="true" applyBorder="true" applyAlignment="true" applyProtection="true">
      <alignment vertical="center"/>
    </xf>
    <xf numFmtId="0" fontId="20" fillId="0" borderId="13" xfId="0" applyFont="true" applyFill="true" applyBorder="true" applyAlignment="true" applyProtection="true">
      <alignment horizontal="center" vertical="center" wrapText="true"/>
    </xf>
    <xf numFmtId="0" fontId="20" fillId="0" borderId="2" xfId="0" applyFont="true" applyFill="true" applyBorder="true" applyAlignment="true" applyProtection="true">
      <alignment horizontal="center" vertical="center"/>
    </xf>
    <xf numFmtId="0" fontId="20" fillId="0" borderId="14" xfId="0" applyFont="true" applyFill="true" applyBorder="true" applyAlignment="true" applyProtection="true">
      <alignment horizontal="center" vertical="center" wrapText="true"/>
    </xf>
    <xf numFmtId="43" fontId="21" fillId="0" borderId="2" xfId="72" applyFont="true" applyFill="true" applyBorder="true" applyProtection="true">
      <alignment vertical="center"/>
    </xf>
    <xf numFmtId="0" fontId="20" fillId="0" borderId="15" xfId="0" applyFont="true" applyFill="true" applyBorder="true" applyAlignment="true" applyProtection="true">
      <alignment horizontal="center" vertical="center" wrapText="true"/>
    </xf>
    <xf numFmtId="0" fontId="20" fillId="0" borderId="0" xfId="0" applyFont="true" applyFill="true" applyBorder="true" applyAlignment="true" applyProtection="true">
      <alignment horizontal="center" vertical="center"/>
    </xf>
    <xf numFmtId="0" fontId="20" fillId="0" borderId="16" xfId="0" applyFont="true" applyFill="true" applyBorder="true" applyAlignment="true" applyProtection="true">
      <alignment horizontal="center" vertical="center" wrapText="true"/>
    </xf>
    <xf numFmtId="0" fontId="20" fillId="0" borderId="17" xfId="0" applyFont="true" applyFill="true" applyBorder="true" applyAlignment="true" applyProtection="true">
      <alignment vertical="center" wrapText="true"/>
    </xf>
    <xf numFmtId="0" fontId="20" fillId="0" borderId="12" xfId="0" applyFont="true" applyFill="true" applyBorder="true" applyAlignment="true" applyProtection="true">
      <alignment vertical="center" wrapText="true"/>
    </xf>
    <xf numFmtId="0" fontId="22" fillId="0" borderId="0" xfId="0" applyFont="true" applyFill="true" applyAlignment="true">
      <alignment horizontal="center" vertical="center" wrapText="true"/>
    </xf>
    <xf numFmtId="0" fontId="23" fillId="0" borderId="2"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182" fontId="0" fillId="0" borderId="2" xfId="0" applyNumberFormat="true" applyFont="true" applyFill="true" applyBorder="true" applyAlignment="true">
      <alignment vertical="center" wrapText="true"/>
    </xf>
    <xf numFmtId="182" fontId="0" fillId="0" borderId="2" xfId="72" applyNumberFormat="true" applyFont="true" applyFill="true" applyBorder="true" applyAlignment="true">
      <alignment vertical="center" wrapText="true"/>
    </xf>
    <xf numFmtId="0" fontId="24" fillId="0" borderId="2" xfId="0" applyFont="true" applyFill="true" applyBorder="true" applyAlignment="true">
      <alignment horizontal="center" vertical="center"/>
    </xf>
    <xf numFmtId="182" fontId="0" fillId="0" borderId="2" xfId="72" applyNumberFormat="true" applyFont="true" applyFill="true" applyBorder="true">
      <alignment vertical="center"/>
    </xf>
    <xf numFmtId="0" fontId="25" fillId="0" borderId="15" xfId="0" applyFont="true" applyFill="true" applyBorder="true" applyAlignment="true">
      <alignment horizontal="center" vertical="center"/>
    </xf>
    <xf numFmtId="0" fontId="25" fillId="0" borderId="16" xfId="0" applyFont="true" applyFill="true" applyBorder="true" applyAlignment="true">
      <alignment horizontal="center" vertical="center"/>
    </xf>
    <xf numFmtId="0" fontId="25" fillId="0" borderId="17" xfId="0" applyFont="true" applyFill="true" applyBorder="true" applyAlignment="true">
      <alignment horizontal="center" vertical="center"/>
    </xf>
    <xf numFmtId="0" fontId="25" fillId="0" borderId="2" xfId="0" applyFont="true" applyFill="true" applyBorder="true" applyAlignment="true">
      <alignment vertical="center" wrapText="true"/>
    </xf>
    <xf numFmtId="182" fontId="14" fillId="0" borderId="2" xfId="72" applyNumberFormat="true" applyFont="true" applyFill="true" applyBorder="true">
      <alignment vertical="center"/>
    </xf>
    <xf numFmtId="0" fontId="25" fillId="0" borderId="2" xfId="0" applyFont="true" applyFill="true" applyBorder="true" applyAlignment="true">
      <alignment horizontal="center" vertical="center" wrapText="true"/>
    </xf>
    <xf numFmtId="0" fontId="20" fillId="0" borderId="15" xfId="0" applyFont="true" applyFill="true" applyBorder="true" applyAlignment="true" applyProtection="true">
      <alignment horizontal="center" vertical="center"/>
    </xf>
    <xf numFmtId="0" fontId="20" fillId="0" borderId="0" xfId="0" applyFont="true" applyFill="true" applyBorder="true" applyAlignment="true" applyProtection="true">
      <alignment horizontal="center" vertical="center" wrapText="true"/>
    </xf>
    <xf numFmtId="0" fontId="20" fillId="0" borderId="0" xfId="0" applyFont="true" applyFill="true" applyBorder="true" applyAlignment="true" applyProtection="true">
      <alignment vertical="center" wrapText="true"/>
    </xf>
    <xf numFmtId="0" fontId="20" fillId="0" borderId="16" xfId="0" applyFont="true" applyFill="true" applyBorder="true" applyAlignment="true" applyProtection="true">
      <alignment horizontal="center" vertical="center"/>
    </xf>
    <xf numFmtId="0" fontId="20" fillId="0" borderId="17" xfId="0" applyFont="true" applyFill="true" applyBorder="true" applyAlignment="true" applyProtection="true">
      <alignment horizontal="center" vertical="center"/>
    </xf>
    <xf numFmtId="181" fontId="20" fillId="0" borderId="2" xfId="0" applyNumberFormat="true" applyFont="true" applyFill="true" applyBorder="true" applyAlignment="true" applyProtection="true">
      <alignment vertical="center"/>
    </xf>
    <xf numFmtId="181" fontId="0" fillId="0" borderId="0" xfId="0" applyNumberFormat="true" applyFont="true" applyFill="true" applyBorder="true" applyAlignment="true" applyProtection="true">
      <alignment vertical="center"/>
    </xf>
    <xf numFmtId="181" fontId="19" fillId="0" borderId="0" xfId="0" applyNumberFormat="true" applyFont="true" applyFill="true" applyBorder="true" applyAlignment="true" applyProtection="true">
      <alignment horizontal="center" vertical="center"/>
    </xf>
    <xf numFmtId="181" fontId="20" fillId="0" borderId="0" xfId="0" applyNumberFormat="true" applyFont="true" applyFill="true" applyBorder="true" applyAlignment="true" applyProtection="true">
      <alignment vertical="center"/>
    </xf>
    <xf numFmtId="181" fontId="20" fillId="0" borderId="7" xfId="0" applyNumberFormat="true" applyFont="true" applyFill="true" applyBorder="true" applyAlignment="true" applyProtection="true">
      <alignment horizontal="center" vertical="center" wrapText="true"/>
    </xf>
    <xf numFmtId="181" fontId="20" fillId="0" borderId="10" xfId="0" applyNumberFormat="true" applyFont="true" applyFill="true" applyBorder="true" applyAlignment="true" applyProtection="true">
      <alignment horizontal="center" vertical="center" wrapText="true"/>
    </xf>
    <xf numFmtId="181" fontId="20" fillId="0" borderId="2" xfId="0" applyNumberFormat="true" applyFont="true" applyFill="true" applyBorder="true" applyAlignment="true" applyProtection="true">
      <alignment horizontal="center" vertical="center" wrapText="true"/>
    </xf>
    <xf numFmtId="182" fontId="21" fillId="0" borderId="2" xfId="72" applyNumberFormat="true" applyFont="true" applyFill="true" applyBorder="true" applyProtection="true">
      <alignment vertical="center"/>
    </xf>
    <xf numFmtId="0" fontId="26" fillId="0" borderId="0" xfId="0" applyFont="true" applyFill="true" applyAlignment="true">
      <alignment horizontal="center" vertical="center" wrapText="true"/>
    </xf>
    <xf numFmtId="0" fontId="27" fillId="0" borderId="0"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27" fillId="0" borderId="2" xfId="0" applyFont="true" applyFill="true" applyBorder="true" applyAlignment="true">
      <alignment horizontal="left" vertical="center" wrapText="true"/>
    </xf>
    <xf numFmtId="0" fontId="27" fillId="0" borderId="2" xfId="0" applyFont="true" applyFill="true" applyBorder="true" applyAlignment="true">
      <alignment vertical="center" wrapText="true"/>
    </xf>
    <xf numFmtId="4" fontId="27" fillId="0" borderId="2" xfId="0" applyNumberFormat="true" applyFont="true" applyFill="true" applyBorder="true" applyAlignment="true">
      <alignment horizontal="right" vertical="center" wrapText="true"/>
    </xf>
    <xf numFmtId="0" fontId="22" fillId="0" borderId="0" xfId="0" applyFont="true" applyFill="true" applyAlignment="true">
      <alignment vertical="center" wrapText="true"/>
    </xf>
    <xf numFmtId="0" fontId="27" fillId="0" borderId="0" xfId="0" applyFont="true" applyFill="true" applyBorder="true" applyAlignment="true">
      <alignment vertical="center" wrapText="true"/>
    </xf>
    <xf numFmtId="0" fontId="27" fillId="0" borderId="0" xfId="0" applyFont="true" applyFill="true" applyBorder="true" applyAlignment="true">
      <alignment horizontal="right" vertical="center" wrapText="true"/>
    </xf>
    <xf numFmtId="0" fontId="28" fillId="0" borderId="0" xfId="67" applyFont="true" applyFill="true" applyAlignment="true"/>
    <xf numFmtId="0" fontId="29" fillId="0" borderId="0" xfId="67" applyFont="true" applyFill="true" applyAlignment="true"/>
    <xf numFmtId="0" fontId="30" fillId="0" borderId="0" xfId="9" applyFont="true" applyFill="true" applyAlignment="true">
      <alignment vertical="center"/>
    </xf>
    <xf numFmtId="49" fontId="31" fillId="3" borderId="0" xfId="67" applyNumberFormat="true" applyFont="true" applyFill="true" applyAlignment="true">
      <alignment horizontal="center" vertical="center"/>
    </xf>
    <xf numFmtId="0" fontId="31" fillId="3" borderId="0" xfId="67" applyFont="true" applyFill="true" applyAlignment="true">
      <alignment horizontal="center" vertical="center"/>
    </xf>
    <xf numFmtId="0" fontId="32" fillId="3" borderId="0" xfId="67" applyFont="true" applyFill="true" applyAlignment="true"/>
    <xf numFmtId="49" fontId="24" fillId="3" borderId="0" xfId="67" applyNumberFormat="true" applyFont="true" applyFill="true" applyAlignment="true">
      <alignment vertical="center"/>
    </xf>
    <xf numFmtId="49" fontId="33" fillId="3" borderId="0" xfId="67" applyNumberFormat="true" applyFont="true" applyFill="true" applyAlignment="true"/>
    <xf numFmtId="49" fontId="24" fillId="3" borderId="18" xfId="67" applyNumberFormat="true" applyFont="true" applyFill="true" applyBorder="true" applyAlignment="true">
      <alignment vertical="center"/>
    </xf>
    <xf numFmtId="49" fontId="24" fillId="3" borderId="11" xfId="67" applyNumberFormat="true" applyFont="true" applyFill="true" applyBorder="true" applyAlignment="true">
      <alignment vertical="center"/>
    </xf>
    <xf numFmtId="49" fontId="33" fillId="3" borderId="11" xfId="67" applyNumberFormat="true" applyFont="true" applyFill="true" applyBorder="true" applyAlignment="true"/>
    <xf numFmtId="49" fontId="34" fillId="3" borderId="1" xfId="67" applyNumberFormat="true" applyFont="true" applyFill="true" applyBorder="true" applyAlignment="true">
      <alignment horizontal="center" vertical="center"/>
    </xf>
    <xf numFmtId="49" fontId="34" fillId="3" borderId="19" xfId="67" applyNumberFormat="true" applyFont="true" applyFill="true" applyBorder="true" applyAlignment="true">
      <alignment horizontal="center" vertical="center" wrapText="true"/>
    </xf>
    <xf numFmtId="49" fontId="34" fillId="3" borderId="2" xfId="67" applyNumberFormat="true" applyFont="true" applyFill="true" applyBorder="true" applyAlignment="true">
      <alignment horizontal="center" vertical="center" wrapText="true"/>
    </xf>
    <xf numFmtId="49" fontId="34" fillId="3" borderId="20" xfId="67" applyNumberFormat="true" applyFont="true" applyFill="true" applyBorder="true" applyAlignment="true">
      <alignment horizontal="left" vertical="center"/>
    </xf>
    <xf numFmtId="41" fontId="34" fillId="0" borderId="1" xfId="72" applyNumberFormat="true" applyFont="true" applyFill="true" applyBorder="true" applyAlignment="true">
      <alignment horizontal="right" vertical="center"/>
    </xf>
    <xf numFmtId="41" fontId="34" fillId="0" borderId="21" xfId="72" applyNumberFormat="true" applyFont="true" applyFill="true" applyBorder="true" applyAlignment="true" applyProtection="true">
      <alignment horizontal="right" vertical="center"/>
    </xf>
    <xf numFmtId="49" fontId="24" fillId="3" borderId="1" xfId="67" applyNumberFormat="true" applyFont="true" applyFill="true" applyBorder="true" applyAlignment="true">
      <alignment horizontal="left" vertical="center"/>
    </xf>
    <xf numFmtId="41" fontId="24" fillId="0" borderId="1" xfId="72" applyNumberFormat="true" applyFont="true" applyFill="true" applyBorder="true" applyAlignment="true">
      <alignment horizontal="right" vertical="center"/>
    </xf>
    <xf numFmtId="41" fontId="24" fillId="0" borderId="1" xfId="72" applyNumberFormat="true" applyFont="true" applyFill="true" applyBorder="true" applyAlignment="true" applyProtection="true">
      <alignment horizontal="right" vertical="center"/>
    </xf>
    <xf numFmtId="41" fontId="24" fillId="0" borderId="21" xfId="72" applyNumberFormat="true" applyFont="true" applyFill="true" applyBorder="true" applyAlignment="true" applyProtection="true">
      <alignment horizontal="right" vertical="center"/>
    </xf>
    <xf numFmtId="49" fontId="24" fillId="3" borderId="1" xfId="67" applyNumberFormat="true" applyFont="true" applyFill="true" applyBorder="true" applyAlignment="true">
      <alignment vertical="center"/>
    </xf>
    <xf numFmtId="49" fontId="34" fillId="3" borderId="1" xfId="67" applyNumberFormat="true" applyFont="true" applyFill="true" applyBorder="true" applyAlignment="true">
      <alignment horizontal="left" vertical="center"/>
    </xf>
    <xf numFmtId="41" fontId="34" fillId="0" borderId="1" xfId="72" applyNumberFormat="true" applyFont="true" applyFill="true" applyBorder="true" applyAlignment="true" applyProtection="true">
      <alignment horizontal="right" vertical="center"/>
    </xf>
    <xf numFmtId="49" fontId="34" fillId="3" borderId="22" xfId="67" applyNumberFormat="true" applyFont="true" applyFill="true" applyBorder="true" applyAlignment="true">
      <alignment horizontal="center" vertical="center" wrapText="true"/>
    </xf>
    <xf numFmtId="49" fontId="34" fillId="3" borderId="1" xfId="67" applyNumberFormat="true" applyFont="true" applyFill="true" applyBorder="true" applyAlignment="true">
      <alignment horizontal="center" vertical="center" wrapText="true"/>
    </xf>
    <xf numFmtId="41" fontId="24" fillId="0" borderId="1" xfId="72" applyNumberFormat="true" applyFont="true" applyFill="true" applyBorder="true" applyAlignment="true" applyProtection="true">
      <alignment horizontal="center" vertical="center"/>
    </xf>
    <xf numFmtId="49" fontId="35" fillId="3" borderId="0" xfId="67" applyNumberFormat="true" applyFont="true" applyFill="true" applyAlignment="true">
      <alignment horizontal="right"/>
    </xf>
    <xf numFmtId="49" fontId="24" fillId="3" borderId="18" xfId="67" applyNumberFormat="true" applyFont="true" applyFill="true" applyBorder="true" applyAlignment="true">
      <alignment horizontal="right" vertical="center"/>
    </xf>
    <xf numFmtId="41" fontId="34" fillId="0" borderId="19" xfId="72" applyNumberFormat="true" applyFont="true" applyFill="true" applyBorder="true" applyAlignment="true" applyProtection="true">
      <alignment horizontal="right" vertical="center"/>
    </xf>
    <xf numFmtId="41" fontId="24" fillId="0" borderId="19" xfId="72" applyNumberFormat="true" applyFont="true" applyFill="true" applyBorder="true" applyAlignment="true" applyProtection="true">
      <alignment horizontal="right" vertical="center"/>
    </xf>
    <xf numFmtId="0" fontId="0" fillId="0" borderId="0" xfId="0" applyFont="true" applyFill="true" applyBorder="true" applyAlignment="true"/>
    <xf numFmtId="0" fontId="0" fillId="0" borderId="0" xfId="9" applyFont="true" applyFill="true" applyAlignment="true">
      <alignment horizontal="center" vertical="center" wrapText="true"/>
    </xf>
    <xf numFmtId="0" fontId="23" fillId="0" borderId="0" xfId="9" applyFont="true" applyFill="true" applyAlignment="true">
      <alignment horizontal="center" vertical="center" wrapText="true"/>
    </xf>
    <xf numFmtId="0" fontId="0" fillId="0" borderId="0" xfId="9" applyFont="true" applyFill="true" applyAlignment="true">
      <alignment vertical="center"/>
    </xf>
    <xf numFmtId="0" fontId="36" fillId="0" borderId="0" xfId="9" applyFont="true" applyFill="true" applyAlignment="true">
      <alignment horizontal="center" vertical="center"/>
    </xf>
    <xf numFmtId="0" fontId="23" fillId="0" borderId="2" xfId="9" applyFont="true" applyFill="true" applyBorder="true" applyAlignment="true">
      <alignment horizontal="center" vertical="center" wrapText="true"/>
    </xf>
    <xf numFmtId="0" fontId="23" fillId="0" borderId="12" xfId="9" applyFont="true" applyFill="true" applyBorder="true" applyAlignment="true">
      <alignment horizontal="center" vertical="center" wrapText="true"/>
    </xf>
    <xf numFmtId="0" fontId="23" fillId="0" borderId="12" xfId="0" applyFont="true" applyFill="true" applyBorder="true" applyAlignment="true">
      <alignment horizontal="center" vertical="center" wrapText="true"/>
    </xf>
    <xf numFmtId="0" fontId="0" fillId="0" borderId="2" xfId="0" applyNumberFormat="true" applyFont="true" applyFill="true" applyBorder="true" applyAlignment="true" applyProtection="true">
      <alignment vertical="center"/>
    </xf>
    <xf numFmtId="183" fontId="0" fillId="0" borderId="2" xfId="100" applyNumberFormat="true" applyFont="true" applyFill="true" applyBorder="true" applyAlignment="true">
      <alignment horizontal="center" vertical="center" wrapText="true"/>
    </xf>
    <xf numFmtId="183" fontId="0" fillId="0" borderId="2" xfId="96" applyNumberFormat="true" applyFont="true" applyFill="true" applyBorder="true" applyAlignment="true">
      <alignment horizontal="center" vertical="center" wrapText="true"/>
    </xf>
    <xf numFmtId="0" fontId="0" fillId="0" borderId="2" xfId="89" applyFont="true" applyFill="true" applyBorder="true" applyAlignment="true">
      <alignment vertical="center" wrapText="true"/>
    </xf>
    <xf numFmtId="3" fontId="0" fillId="0" borderId="2" xfId="9" applyNumberFormat="true" applyFont="true" applyFill="true" applyBorder="true" applyAlignment="true" applyProtection="true">
      <alignment vertical="center" wrapText="true"/>
    </xf>
    <xf numFmtId="0" fontId="0" fillId="0" borderId="2" xfId="17" applyFont="true" applyFill="true" applyBorder="true" applyAlignment="true">
      <alignment vertical="center" wrapText="true"/>
    </xf>
    <xf numFmtId="183" fontId="23" fillId="0" borderId="2" xfId="107" applyNumberFormat="true" applyFont="true" applyFill="true" applyBorder="true" applyAlignment="true">
      <alignment horizontal="center" vertical="center" wrapText="true"/>
    </xf>
    <xf numFmtId="183" fontId="23" fillId="0" borderId="2" xfId="96" applyNumberFormat="true" applyFont="true" applyFill="true" applyBorder="true" applyAlignment="true">
      <alignment horizontal="center" vertical="center" wrapText="true"/>
    </xf>
    <xf numFmtId="0" fontId="0" fillId="0" borderId="2" xfId="9" applyFont="true" applyFill="true" applyBorder="true" applyAlignment="true">
      <alignment vertical="center" wrapText="true"/>
    </xf>
    <xf numFmtId="0" fontId="23" fillId="0" borderId="0" xfId="9" applyFont="true" applyFill="true" applyAlignment="true">
      <alignment vertical="center"/>
    </xf>
    <xf numFmtId="0" fontId="23" fillId="0" borderId="0" xfId="0" applyFont="true" applyFill="true" applyBorder="true" applyAlignment="true"/>
    <xf numFmtId="0" fontId="1" fillId="0" borderId="0" xfId="0" applyNumberFormat="true" applyFont="true" applyFill="true" applyBorder="true" applyAlignment="true"/>
    <xf numFmtId="0" fontId="37" fillId="0" borderId="0" xfId="0" applyNumberFormat="true" applyFont="true" applyFill="true" applyBorder="true" applyAlignment="true">
      <alignment horizontal="center" vertical="center"/>
    </xf>
    <xf numFmtId="0" fontId="38" fillId="0" borderId="0" xfId="0" applyNumberFormat="true" applyFont="true" applyFill="true" applyBorder="true" applyAlignment="true">
      <alignment horizontal="left"/>
    </xf>
    <xf numFmtId="0" fontId="38" fillId="0" borderId="0" xfId="0" applyNumberFormat="true" applyFont="true" applyFill="true" applyBorder="true" applyAlignment="true">
      <alignment horizontal="right"/>
    </xf>
    <xf numFmtId="0" fontId="39" fillId="0" borderId="23" xfId="0" applyFont="true" applyBorder="true" applyAlignment="true">
      <alignment horizontal="center" vertical="center" wrapText="true"/>
    </xf>
    <xf numFmtId="0" fontId="39" fillId="0" borderId="24" xfId="0" applyFont="true" applyBorder="true" applyAlignment="true">
      <alignment horizontal="center" vertical="center" wrapText="true"/>
    </xf>
    <xf numFmtId="0" fontId="39" fillId="0" borderId="20" xfId="0" applyFont="true" applyBorder="true" applyAlignment="true">
      <alignment horizontal="center" vertical="center" wrapText="true"/>
    </xf>
    <xf numFmtId="0" fontId="39" fillId="0" borderId="1" xfId="0" applyNumberFormat="true" applyFont="true" applyFill="true" applyBorder="true" applyAlignment="true">
      <alignment horizontal="center" vertical="center" wrapText="true"/>
    </xf>
    <xf numFmtId="0" fontId="39" fillId="0" borderId="1" xfId="0" applyNumberFormat="true" applyFont="true" applyFill="true" applyBorder="true" applyAlignment="true">
      <alignment horizontal="left" vertical="center" wrapText="true"/>
    </xf>
    <xf numFmtId="0" fontId="39" fillId="0" borderId="1" xfId="0" applyNumberFormat="true" applyFont="true" applyFill="true" applyBorder="true" applyAlignment="true">
      <alignment horizontal="right" vertical="center"/>
    </xf>
    <xf numFmtId="0" fontId="38" fillId="0" borderId="1" xfId="0" applyNumberFormat="true" applyFont="true" applyFill="true" applyBorder="true" applyAlignment="true">
      <alignment horizontal="left" vertical="center" wrapText="true"/>
    </xf>
    <xf numFmtId="0" fontId="39" fillId="0" borderId="25" xfId="0" applyFont="true" applyBorder="true" applyAlignment="true">
      <alignment horizontal="center" vertical="center" wrapText="true"/>
    </xf>
    <xf numFmtId="0" fontId="39" fillId="0" borderId="26" xfId="0" applyFont="true" applyBorder="true" applyAlignment="true">
      <alignment horizontal="center" vertical="center" wrapText="true"/>
    </xf>
    <xf numFmtId="0" fontId="38" fillId="0" borderId="1" xfId="0" applyNumberFormat="true" applyFont="true" applyFill="true" applyBorder="true" applyAlignment="true">
      <alignment horizontal="right" vertical="center"/>
    </xf>
    <xf numFmtId="0" fontId="23" fillId="0" borderId="0" xfId="9" applyFont="true" applyFill="true" applyAlignment="true">
      <alignment horizontal="center" vertical="center"/>
    </xf>
    <xf numFmtId="0" fontId="0" fillId="0" borderId="0" xfId="0" applyFont="true" applyFill="true" applyBorder="true" applyAlignment="true">
      <alignment vertical="center"/>
    </xf>
    <xf numFmtId="0" fontId="40" fillId="0" borderId="2" xfId="0" applyFont="true" applyFill="true" applyBorder="true" applyAlignment="true">
      <alignment horizontal="center" vertical="center"/>
    </xf>
    <xf numFmtId="3" fontId="23" fillId="0" borderId="2" xfId="9" applyNumberFormat="true" applyFont="true" applyFill="true" applyBorder="true" applyAlignment="true" applyProtection="true">
      <alignment horizontal="center" vertical="center"/>
    </xf>
    <xf numFmtId="3" fontId="0" fillId="0" borderId="2" xfId="9" applyNumberFormat="true" applyFont="true" applyFill="true" applyBorder="true" applyAlignment="true" applyProtection="true">
      <alignment vertical="center"/>
    </xf>
    <xf numFmtId="3" fontId="23" fillId="0" borderId="2" xfId="9" applyNumberFormat="true" applyFont="true" applyFill="true" applyBorder="true" applyAlignment="true" applyProtection="true">
      <alignment vertical="center"/>
    </xf>
    <xf numFmtId="0" fontId="0" fillId="0" borderId="0" xfId="9" applyFont="true" applyFill="true" applyAlignment="true">
      <alignment horizontal="center" vertical="center"/>
    </xf>
    <xf numFmtId="0" fontId="23" fillId="0" borderId="0" xfId="0" applyFont="true" applyFill="true" applyBorder="true" applyAlignment="true">
      <alignment vertical="center"/>
    </xf>
    <xf numFmtId="0" fontId="1" fillId="0" borderId="0" xfId="0" applyFont="true" applyFill="true" applyBorder="true" applyAlignment="true"/>
    <xf numFmtId="0" fontId="2" fillId="0" borderId="0" xfId="0" applyFont="true" applyFill="true" applyBorder="true" applyAlignment="true"/>
    <xf numFmtId="0" fontId="41" fillId="0" borderId="1" xfId="0" applyNumberFormat="true" applyFont="true" applyFill="true" applyBorder="true" applyAlignment="true" applyProtection="true">
      <alignment horizontal="center" vertical="center"/>
    </xf>
    <xf numFmtId="0" fontId="5" fillId="0" borderId="24" xfId="0" applyFont="true" applyFill="true" applyBorder="true" applyAlignment="true" applyProtection="true">
      <alignment horizontal="right" vertical="center" wrapText="true"/>
    </xf>
    <xf numFmtId="0" fontId="5" fillId="0" borderId="25" xfId="0" applyFont="true" applyFill="true" applyBorder="true" applyAlignment="true" applyProtection="true">
      <alignment horizontal="right" vertical="center" wrapText="true"/>
    </xf>
    <xf numFmtId="0" fontId="5" fillId="0" borderId="1" xfId="0" applyFont="true" applyFill="true" applyBorder="true" applyAlignment="true" applyProtection="true">
      <alignment horizontal="center" vertical="center" wrapText="true"/>
    </xf>
    <xf numFmtId="0" fontId="42" fillId="0" borderId="1" xfId="0"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vertical="center"/>
    </xf>
    <xf numFmtId="2" fontId="5" fillId="0" borderId="1" xfId="0" applyNumberFormat="true" applyFont="true" applyFill="true" applyBorder="true" applyAlignment="true" applyProtection="true">
      <alignment horizontal="right" vertical="center"/>
    </xf>
    <xf numFmtId="0" fontId="6" fillId="0" borderId="1" xfId="0" applyFont="true" applyFill="true" applyBorder="true" applyAlignment="true" applyProtection="true">
      <alignment vertical="center"/>
    </xf>
    <xf numFmtId="2" fontId="6" fillId="0" borderId="1" xfId="0" applyNumberFormat="true" applyFont="true" applyFill="true" applyBorder="true" applyAlignment="true" applyProtection="true">
      <alignment horizontal="right" vertical="center"/>
    </xf>
    <xf numFmtId="0" fontId="43" fillId="0" borderId="1" xfId="0" applyFont="true" applyFill="true" applyBorder="true" applyAlignment="true" applyProtection="true">
      <alignment horizontal="center" vertical="center" wrapText="true"/>
    </xf>
    <xf numFmtId="0" fontId="5" fillId="0" borderId="26" xfId="0" applyFont="true" applyFill="true" applyBorder="true" applyAlignment="true" applyProtection="true">
      <alignment horizontal="right" vertical="center" wrapText="true"/>
    </xf>
    <xf numFmtId="0" fontId="44" fillId="4" borderId="0" xfId="0" applyFont="true" applyFill="true" applyAlignment="true">
      <alignment vertical="center"/>
    </xf>
    <xf numFmtId="0" fontId="45" fillId="4" borderId="0" xfId="0" applyFont="true" applyFill="true" applyAlignment="true">
      <alignment vertical="center"/>
    </xf>
    <xf numFmtId="0" fontId="46" fillId="4" borderId="0" xfId="0" applyFont="true" applyFill="true" applyAlignment="true">
      <alignment vertical="center"/>
    </xf>
    <xf numFmtId="0" fontId="44" fillId="4" borderId="0" xfId="0" applyFont="true" applyFill="true" applyAlignment="true">
      <alignment vertical="center" wrapText="true"/>
    </xf>
    <xf numFmtId="0" fontId="47" fillId="4" borderId="0" xfId="0" applyFont="true" applyFill="true" applyAlignment="true">
      <alignment vertical="center"/>
    </xf>
    <xf numFmtId="0" fontId="48" fillId="4" borderId="0" xfId="0" applyFont="true" applyFill="true" applyAlignment="true">
      <alignment horizontal="center" vertical="center"/>
    </xf>
    <xf numFmtId="0" fontId="48" fillId="4" borderId="0" xfId="0" applyFont="true" applyFill="true" applyAlignment="true">
      <alignment horizontal="center" vertical="center" wrapText="true"/>
    </xf>
    <xf numFmtId="0" fontId="46" fillId="4" borderId="6" xfId="0" applyFont="true" applyFill="true" applyBorder="true" applyAlignment="true">
      <alignment horizontal="center" vertical="center"/>
    </xf>
    <xf numFmtId="0" fontId="46" fillId="4" borderId="6" xfId="0" applyFont="true" applyFill="true" applyBorder="true" applyAlignment="true">
      <alignment horizontal="center" vertical="center" wrapText="true"/>
    </xf>
    <xf numFmtId="0" fontId="46" fillId="4" borderId="12" xfId="0" applyFont="true" applyFill="true" applyBorder="true" applyAlignment="true">
      <alignment horizontal="center" vertical="center"/>
    </xf>
    <xf numFmtId="0" fontId="46" fillId="4" borderId="12" xfId="0" applyFont="true" applyFill="true" applyBorder="true" applyAlignment="true">
      <alignment horizontal="center" vertical="center" wrapText="true"/>
    </xf>
    <xf numFmtId="0" fontId="44" fillId="4" borderId="12" xfId="0" applyFont="true" applyFill="true" applyBorder="true" applyAlignment="true">
      <alignment horizontal="center" vertical="center" wrapText="true"/>
    </xf>
    <xf numFmtId="3" fontId="44" fillId="4" borderId="2" xfId="0" applyNumberFormat="true" applyFont="true" applyFill="true" applyBorder="true" applyAlignment="true" applyProtection="true">
      <alignment vertical="center"/>
    </xf>
    <xf numFmtId="0" fontId="44" fillId="4" borderId="2" xfId="0" applyFont="true" applyFill="true" applyBorder="true" applyAlignment="true">
      <alignment vertical="center" wrapText="true"/>
    </xf>
    <xf numFmtId="3" fontId="44" fillId="4" borderId="2" xfId="0" applyNumberFormat="true" applyFont="true" applyFill="true" applyBorder="true" applyAlignment="true" applyProtection="true">
      <alignment horizontal="left" vertical="center"/>
    </xf>
    <xf numFmtId="0" fontId="44" fillId="4" borderId="2" xfId="0" applyFont="true" applyFill="true" applyBorder="true" applyAlignment="true">
      <alignment horizontal="left" vertical="center"/>
    </xf>
    <xf numFmtId="0" fontId="44" fillId="4" borderId="2" xfId="29" applyFont="true" applyFill="true" applyBorder="true" applyAlignment="true">
      <alignment vertical="center" wrapText="true"/>
    </xf>
    <xf numFmtId="0" fontId="44" fillId="4" borderId="2" xfId="0" applyFont="true" applyFill="true" applyBorder="true" applyAlignment="true">
      <alignment vertical="center"/>
    </xf>
    <xf numFmtId="0" fontId="46" fillId="4" borderId="2" xfId="0" applyFont="true" applyFill="true" applyBorder="true" applyAlignment="true">
      <alignment horizontal="distributed" vertical="center"/>
    </xf>
    <xf numFmtId="0" fontId="44" fillId="4" borderId="0" xfId="0" applyFont="true" applyFill="true" applyAlignment="true">
      <alignment horizontal="right" vertical="center" wrapText="true"/>
    </xf>
    <xf numFmtId="0" fontId="46" fillId="4" borderId="13" xfId="0" applyFont="true" applyFill="true" applyBorder="true" applyAlignment="true">
      <alignment horizontal="center" vertical="center" wrapText="true"/>
    </xf>
    <xf numFmtId="0" fontId="44" fillId="4" borderId="12" xfId="0" applyFont="true" applyFill="true" applyBorder="true" applyAlignment="true">
      <alignment horizontal="center" vertical="center"/>
    </xf>
    <xf numFmtId="0" fontId="46" fillId="4" borderId="14" xfId="0" applyFont="true" applyFill="true" applyBorder="true" applyAlignment="true">
      <alignment horizontal="center" vertical="center" wrapText="true"/>
    </xf>
    <xf numFmtId="184" fontId="44" fillId="4" borderId="0" xfId="0" applyNumberFormat="true" applyFont="true" applyFill="true" applyAlignment="true">
      <alignment vertical="center"/>
    </xf>
    <xf numFmtId="185" fontId="44" fillId="4" borderId="0" xfId="0" applyNumberFormat="true" applyFont="true" applyFill="true" applyAlignment="true">
      <alignment vertical="center"/>
    </xf>
    <xf numFmtId="0" fontId="47" fillId="4" borderId="0" xfId="0" applyFont="true" applyFill="true"/>
    <xf numFmtId="184" fontId="47" fillId="4" borderId="0" xfId="0" applyNumberFormat="true" applyFont="true" applyFill="true"/>
    <xf numFmtId="184" fontId="48" fillId="4" borderId="0" xfId="0" applyNumberFormat="true" applyFont="true" applyFill="true" applyAlignment="true">
      <alignment horizontal="center" vertical="center"/>
    </xf>
    <xf numFmtId="0" fontId="46" fillId="4" borderId="2" xfId="0" applyFont="true" applyFill="true" applyBorder="true" applyAlignment="true">
      <alignment horizontal="center" vertical="center"/>
    </xf>
    <xf numFmtId="184" fontId="46" fillId="4" borderId="2" xfId="0" applyNumberFormat="true" applyFont="true" applyFill="true" applyBorder="true" applyAlignment="true">
      <alignment horizontal="center" vertical="center"/>
    </xf>
    <xf numFmtId="0" fontId="46" fillId="4" borderId="2" xfId="0" applyFont="true" applyFill="true" applyBorder="true" applyAlignment="true">
      <alignment horizontal="center" vertical="center" wrapText="true"/>
    </xf>
    <xf numFmtId="184" fontId="46" fillId="4" borderId="2" xfId="0" applyNumberFormat="true" applyFont="true" applyFill="true" applyBorder="true" applyAlignment="true">
      <alignment horizontal="center" vertical="center" wrapText="true"/>
    </xf>
    <xf numFmtId="184" fontId="49" fillId="4" borderId="2" xfId="29" applyNumberFormat="true" applyFont="true" applyFill="true" applyBorder="true" applyAlignment="true">
      <alignment horizontal="center" vertical="center" wrapText="true"/>
    </xf>
    <xf numFmtId="185" fontId="44" fillId="4" borderId="2" xfId="0" applyNumberFormat="true" applyFont="true" applyFill="true" applyBorder="true" applyAlignment="true">
      <alignment vertical="center"/>
    </xf>
    <xf numFmtId="184" fontId="44" fillId="4" borderId="2" xfId="0" applyNumberFormat="true" applyFont="true" applyFill="true" applyBorder="true" applyAlignment="true">
      <alignment vertical="center"/>
    </xf>
    <xf numFmtId="1" fontId="44" fillId="4" borderId="2" xfId="0" applyNumberFormat="true" applyFont="true" applyFill="true" applyBorder="true" applyAlignment="true" applyProtection="true">
      <alignment vertical="center"/>
      <protection locked="false"/>
    </xf>
    <xf numFmtId="185" fontId="48" fillId="4" borderId="0" xfId="0" applyNumberFormat="true" applyFont="true" applyFill="true" applyAlignment="true">
      <alignment horizontal="center" vertical="center"/>
    </xf>
    <xf numFmtId="185" fontId="46" fillId="4" borderId="2" xfId="0" applyNumberFormat="true" applyFont="true" applyFill="true" applyBorder="true" applyAlignment="true">
      <alignment horizontal="center" vertical="center"/>
    </xf>
    <xf numFmtId="185" fontId="46" fillId="4" borderId="2" xfId="0" applyNumberFormat="true" applyFont="true" applyFill="true" applyBorder="true" applyAlignment="true">
      <alignment horizontal="center" vertical="center" wrapText="true"/>
    </xf>
    <xf numFmtId="184" fontId="0" fillId="0" borderId="12" xfId="72" applyNumberFormat="true" applyFont="true" applyFill="true" applyBorder="true" applyAlignment="true">
      <alignment horizontal="center" vertical="center" wrapText="true"/>
    </xf>
    <xf numFmtId="0" fontId="44" fillId="4" borderId="2" xfId="0" applyFont="true" applyFill="true" applyBorder="true" applyAlignment="true">
      <alignment horizontal="left" vertical="center" indent="3"/>
    </xf>
    <xf numFmtId="0" fontId="44" fillId="0" borderId="2" xfId="0" applyFont="true" applyFill="true" applyBorder="true" applyAlignment="true">
      <alignment horizontal="left" vertical="center"/>
    </xf>
    <xf numFmtId="185" fontId="46" fillId="4" borderId="2" xfId="0" applyNumberFormat="true" applyFont="true" applyFill="true" applyBorder="true" applyAlignment="true">
      <alignment horizontal="distributed" vertical="center"/>
    </xf>
    <xf numFmtId="184" fontId="23" fillId="0" borderId="12" xfId="72" applyNumberFormat="true" applyFont="true" applyFill="true" applyBorder="true" applyAlignment="true">
      <alignment horizontal="center" vertical="center" wrapText="true"/>
    </xf>
    <xf numFmtId="0" fontId="46" fillId="4" borderId="2" xfId="0" applyFont="true" applyFill="true" applyBorder="true" applyAlignment="true">
      <alignment vertical="center"/>
    </xf>
    <xf numFmtId="185" fontId="46" fillId="4" borderId="2" xfId="0" applyNumberFormat="true" applyFont="true" applyFill="true" applyBorder="true" applyAlignment="true">
      <alignment vertical="center"/>
    </xf>
    <xf numFmtId="185" fontId="44" fillId="4" borderId="2" xfId="0" applyNumberFormat="true" applyFont="true" applyFill="true" applyBorder="true" applyAlignment="true" applyProtection="true">
      <alignment vertical="center"/>
      <protection locked="false"/>
    </xf>
    <xf numFmtId="0" fontId="0" fillId="4" borderId="0" xfId="29" applyFont="true" applyFill="true" applyAlignment="true">
      <alignment vertical="center"/>
    </xf>
    <xf numFmtId="0" fontId="47" fillId="4" borderId="0" xfId="29" applyFont="true" applyFill="true" applyAlignment="true">
      <alignment vertical="center"/>
    </xf>
    <xf numFmtId="0" fontId="11" fillId="4" borderId="0" xfId="29" applyFont="true" applyFill="true" applyAlignment="true">
      <alignment vertical="center"/>
    </xf>
    <xf numFmtId="0" fontId="49" fillId="4" borderId="0" xfId="65" applyFont="true" applyFill="true" applyAlignment="true"/>
    <xf numFmtId="0" fontId="0" fillId="4" borderId="0" xfId="65" applyFont="true" applyFill="true" applyAlignment="true"/>
    <xf numFmtId="0" fontId="0" fillId="4" borderId="0" xfId="65" applyFont="true" applyFill="true" applyAlignment="true">
      <alignment horizontal="center"/>
    </xf>
    <xf numFmtId="0" fontId="0" fillId="4" borderId="0" xfId="65" applyFont="true" applyFill="true" applyAlignment="true">
      <alignment wrapText="true"/>
    </xf>
    <xf numFmtId="0" fontId="0" fillId="4" borderId="0" xfId="65" applyFill="true" applyAlignment="true"/>
    <xf numFmtId="0" fontId="48" fillId="4" borderId="0" xfId="29" applyFont="true" applyFill="true" applyAlignment="true">
      <alignment horizontal="center" vertical="center"/>
    </xf>
    <xf numFmtId="0" fontId="11" fillId="4" borderId="0" xfId="29" applyFont="true" applyFill="true" applyAlignment="true">
      <alignment horizontal="center" vertical="center"/>
    </xf>
    <xf numFmtId="49" fontId="50" fillId="4" borderId="7" xfId="0" applyNumberFormat="true" applyFont="true" applyFill="true" applyBorder="true" applyAlignment="true">
      <alignment horizontal="center" vertical="center"/>
    </xf>
    <xf numFmtId="49" fontId="50" fillId="4" borderId="13" xfId="0" applyNumberFormat="true" applyFont="true" applyFill="true" applyBorder="true" applyAlignment="true">
      <alignment horizontal="center" vertical="center"/>
    </xf>
    <xf numFmtId="49" fontId="50" fillId="4" borderId="6" xfId="0" applyNumberFormat="true" applyFont="true" applyFill="true" applyBorder="true" applyAlignment="true">
      <alignment horizontal="center" vertical="center"/>
    </xf>
    <xf numFmtId="0" fontId="49" fillId="4" borderId="2" xfId="29" applyFont="true" applyFill="true" applyBorder="true" applyAlignment="true">
      <alignment horizontal="center" vertical="center"/>
    </xf>
    <xf numFmtId="49" fontId="50" fillId="4" borderId="10" xfId="0" applyNumberFormat="true" applyFont="true" applyFill="true" applyBorder="true" applyAlignment="true">
      <alignment horizontal="center" vertical="center"/>
    </xf>
    <xf numFmtId="49" fontId="50" fillId="4" borderId="14" xfId="0" applyNumberFormat="true" applyFont="true" applyFill="true" applyBorder="true" applyAlignment="true">
      <alignment horizontal="center" vertical="center"/>
    </xf>
    <xf numFmtId="49" fontId="50" fillId="4" borderId="12" xfId="0" applyNumberFormat="true" applyFont="true" applyFill="true" applyBorder="true" applyAlignment="true">
      <alignment horizontal="center" vertical="center"/>
    </xf>
    <xf numFmtId="49" fontId="51" fillId="4" borderId="2" xfId="0" applyNumberFormat="true" applyFont="true" applyFill="true" applyBorder="true" applyAlignment="true">
      <alignment horizontal="left" vertical="center"/>
    </xf>
    <xf numFmtId="0" fontId="51" fillId="4" borderId="2" xfId="0" applyFont="true" applyFill="true" applyBorder="true" applyAlignment="true">
      <alignment horizontal="left" vertical="center"/>
    </xf>
    <xf numFmtId="0" fontId="11" fillId="4" borderId="2" xfId="29" applyFont="true" applyFill="true" applyBorder="true" applyAlignment="true">
      <alignment horizontal="center" vertical="center"/>
    </xf>
    <xf numFmtId="49" fontId="51" fillId="4" borderId="2" xfId="0" applyNumberFormat="true" applyFont="true" applyFill="true" applyBorder="true" applyAlignment="true">
      <alignment horizontal="center" vertical="center" wrapText="true"/>
    </xf>
    <xf numFmtId="49" fontId="51" fillId="4" borderId="2" xfId="0" applyNumberFormat="true" applyFont="true" applyFill="true" applyBorder="true" applyAlignment="true">
      <alignment horizontal="left" vertical="center" wrapText="true" shrinkToFit="true"/>
    </xf>
    <xf numFmtId="0" fontId="11" fillId="4" borderId="15" xfId="65" applyNumberFormat="true" applyFont="true" applyFill="true" applyBorder="true" applyAlignment="true" applyProtection="true">
      <alignment horizontal="center" vertical="center"/>
    </xf>
    <xf numFmtId="0" fontId="11" fillId="4" borderId="17" xfId="65" applyNumberFormat="true" applyFont="true" applyFill="true" applyBorder="true" applyAlignment="true" applyProtection="true">
      <alignment horizontal="center" vertical="center"/>
    </xf>
    <xf numFmtId="3" fontId="11" fillId="4" borderId="2" xfId="65" applyNumberFormat="true" applyFont="true" applyFill="true" applyBorder="true" applyAlignment="true" applyProtection="true">
      <alignment horizontal="right" vertical="center"/>
    </xf>
    <xf numFmtId="0" fontId="0" fillId="4" borderId="0" xfId="29" applyFont="true" applyFill="true" applyAlignment="true">
      <alignment vertical="center" wrapText="true"/>
    </xf>
    <xf numFmtId="0" fontId="11" fillId="4" borderId="11" xfId="29" applyFont="true" applyFill="true" applyBorder="true" applyAlignment="true">
      <alignment horizontal="right" vertical="center" wrapText="true"/>
    </xf>
    <xf numFmtId="0" fontId="49" fillId="4" borderId="2" xfId="29" applyFont="true" applyFill="true" applyBorder="true" applyAlignment="true">
      <alignment horizontal="center" vertical="center" wrapText="true"/>
    </xf>
    <xf numFmtId="43" fontId="0" fillId="0" borderId="2" xfId="72" applyFont="true" applyFill="true" applyBorder="true" applyAlignment="true">
      <alignment vertical="center"/>
    </xf>
    <xf numFmtId="0" fontId="45" fillId="4" borderId="0" xfId="25" applyFont="true" applyFill="true"/>
    <xf numFmtId="0" fontId="44" fillId="4" borderId="0" xfId="25" applyFont="true" applyFill="true"/>
    <xf numFmtId="0" fontId="46" fillId="4" borderId="0" xfId="25" applyFont="true" applyFill="true"/>
    <xf numFmtId="0" fontId="52" fillId="4" borderId="0" xfId="25" applyFont="true" applyFill="true"/>
    <xf numFmtId="0" fontId="48" fillId="4" borderId="0" xfId="25" applyNumberFormat="true" applyFont="true" applyFill="true" applyAlignment="true" applyProtection="true">
      <alignment horizontal="center" vertical="center"/>
    </xf>
    <xf numFmtId="0" fontId="44" fillId="4" borderId="0" xfId="25" applyNumberFormat="true" applyFont="true" applyFill="true" applyAlignment="true" applyProtection="true">
      <alignment horizontal="right" vertical="center"/>
    </xf>
    <xf numFmtId="0" fontId="53" fillId="4" borderId="11" xfId="25" applyNumberFormat="true" applyFont="true" applyFill="true" applyBorder="true" applyAlignment="true" applyProtection="true">
      <alignment vertical="center"/>
    </xf>
    <xf numFmtId="0" fontId="46" fillId="4" borderId="6" xfId="25" applyNumberFormat="true" applyFont="true" applyFill="true" applyBorder="true" applyAlignment="true" applyProtection="true">
      <alignment horizontal="center" vertical="center"/>
    </xf>
    <xf numFmtId="0" fontId="46" fillId="4" borderId="2" xfId="25" applyNumberFormat="true" applyFont="true" applyFill="true" applyBorder="true" applyAlignment="true" applyProtection="true">
      <alignment horizontal="distributed" vertical="center" wrapText="true" indent="6"/>
    </xf>
    <xf numFmtId="0" fontId="46" fillId="4" borderId="12" xfId="25" applyNumberFormat="true" applyFont="true" applyFill="true" applyBorder="true" applyAlignment="true" applyProtection="true">
      <alignment horizontal="center" vertical="center"/>
    </xf>
    <xf numFmtId="0" fontId="46" fillId="4" borderId="2" xfId="25" applyNumberFormat="true" applyFont="true" applyFill="true" applyBorder="true" applyAlignment="true" applyProtection="true">
      <alignment horizontal="center" vertical="center" wrapText="true"/>
    </xf>
    <xf numFmtId="3" fontId="46" fillId="4" borderId="2" xfId="25" applyNumberFormat="true" applyFont="true" applyFill="true" applyBorder="true" applyAlignment="true" applyProtection="true">
      <alignment horizontal="left" vertical="center"/>
    </xf>
    <xf numFmtId="3" fontId="46" fillId="4" borderId="2" xfId="25" applyNumberFormat="true" applyFont="true" applyFill="true" applyBorder="true" applyAlignment="true" applyProtection="true">
      <alignment horizontal="right" vertical="center"/>
    </xf>
    <xf numFmtId="0" fontId="44" fillId="4" borderId="2" xfId="25" applyFont="true" applyFill="true" applyBorder="true" applyAlignment="true">
      <alignment vertical="center"/>
    </xf>
    <xf numFmtId="3" fontId="44" fillId="4" borderId="2" xfId="25" applyNumberFormat="true" applyFont="true" applyFill="true" applyBorder="true" applyAlignment="true" applyProtection="true">
      <alignment horizontal="right" vertical="center"/>
    </xf>
    <xf numFmtId="0" fontId="44" fillId="4" borderId="2" xfId="25" applyFont="true" applyFill="true" applyBorder="true"/>
    <xf numFmtId="0" fontId="52" fillId="4" borderId="2" xfId="25" applyFont="true" applyFill="true" applyBorder="true"/>
    <xf numFmtId="0" fontId="46" fillId="4" borderId="0" xfId="25" applyNumberFormat="true" applyFont="true" applyFill="true" applyBorder="true" applyAlignment="true" applyProtection="true">
      <alignment horizontal="center" vertical="center"/>
    </xf>
    <xf numFmtId="0" fontId="44" fillId="4" borderId="0" xfId="25" applyFont="true" applyFill="true" applyAlignment="true">
      <alignment horizontal="center"/>
    </xf>
    <xf numFmtId="0" fontId="52" fillId="4" borderId="0" xfId="25" applyFont="true" applyFill="true" applyAlignment="true">
      <alignment horizontal="center"/>
    </xf>
    <xf numFmtId="0" fontId="44" fillId="4" borderId="11" xfId="25" applyNumberFormat="true" applyFont="true" applyFill="true" applyBorder="true" applyAlignment="true" applyProtection="true">
      <alignment horizontal="right" vertical="center"/>
    </xf>
    <xf numFmtId="0" fontId="44" fillId="4" borderId="11" xfId="25" applyNumberFormat="true" applyFont="true" applyFill="true" applyBorder="true" applyAlignment="true" applyProtection="true">
      <alignment horizontal="center" vertical="center"/>
    </xf>
    <xf numFmtId="0" fontId="44" fillId="4" borderId="0" xfId="25" applyNumberFormat="true" applyFont="true" applyFill="true" applyBorder="true" applyAlignment="true" applyProtection="true">
      <alignment horizontal="center" vertical="center"/>
    </xf>
    <xf numFmtId="0" fontId="46" fillId="4" borderId="6" xfId="25" applyNumberFormat="true" applyFont="true" applyFill="true" applyBorder="true" applyAlignment="true" applyProtection="true">
      <alignment horizontal="center" vertical="center" wrapText="true"/>
    </xf>
    <xf numFmtId="0" fontId="46" fillId="4" borderId="15" xfId="25" applyNumberFormat="true" applyFont="true" applyFill="true" applyBorder="true" applyAlignment="true" applyProtection="true">
      <alignment horizontal="center" vertical="center" wrapText="true"/>
    </xf>
    <xf numFmtId="0" fontId="46" fillId="4" borderId="16" xfId="25" applyNumberFormat="true" applyFont="true" applyFill="true" applyBorder="true" applyAlignment="true" applyProtection="true">
      <alignment horizontal="center" vertical="center" wrapText="true"/>
    </xf>
    <xf numFmtId="0" fontId="46" fillId="4" borderId="12" xfId="25" applyNumberFormat="true" applyFont="true" applyFill="true" applyBorder="true" applyAlignment="true" applyProtection="true">
      <alignment horizontal="center" vertical="center" wrapText="true"/>
    </xf>
    <xf numFmtId="1" fontId="46" fillId="4" borderId="2" xfId="0" applyNumberFormat="true" applyFont="true" applyFill="true" applyBorder="true" applyAlignment="true" applyProtection="true">
      <alignment horizontal="center" vertical="center" wrapText="true"/>
      <protection locked="false"/>
    </xf>
    <xf numFmtId="185" fontId="46" fillId="4" borderId="2" xfId="25" applyNumberFormat="true" applyFont="true" applyFill="true" applyBorder="true" applyAlignment="true" applyProtection="true">
      <alignment horizontal="left" vertical="center"/>
    </xf>
    <xf numFmtId="185" fontId="46" fillId="4" borderId="2" xfId="25" applyNumberFormat="true" applyFont="true" applyFill="true" applyBorder="true" applyAlignment="true" applyProtection="true">
      <alignment horizontal="center" vertical="center"/>
    </xf>
    <xf numFmtId="185" fontId="44" fillId="4" borderId="2" xfId="25" applyNumberFormat="true" applyFont="true" applyFill="true" applyBorder="true" applyAlignment="true">
      <alignment vertical="center"/>
    </xf>
    <xf numFmtId="185" fontId="44" fillId="4" borderId="2" xfId="25" applyNumberFormat="true" applyFont="true" applyFill="true" applyBorder="true" applyAlignment="true">
      <alignment horizontal="center"/>
    </xf>
    <xf numFmtId="0" fontId="44" fillId="4" borderId="2" xfId="25" applyFont="true" applyFill="true" applyBorder="true" applyAlignment="true">
      <alignment horizontal="left" vertical="center"/>
    </xf>
    <xf numFmtId="0" fontId="44" fillId="4" borderId="2" xfId="25" applyFont="true" applyFill="true" applyBorder="true" applyAlignment="true">
      <alignment horizontal="center"/>
    </xf>
    <xf numFmtId="0" fontId="44" fillId="4" borderId="2" xfId="25" applyFont="true" applyFill="true" applyBorder="true" applyAlignment="true">
      <alignment horizontal="left"/>
    </xf>
    <xf numFmtId="0" fontId="46" fillId="4" borderId="2" xfId="0" applyNumberFormat="true" applyFont="true" applyFill="true" applyBorder="true" applyAlignment="true" applyProtection="true">
      <alignment horizontal="center" vertical="center" wrapText="true"/>
      <protection locked="false"/>
    </xf>
    <xf numFmtId="3" fontId="46" fillId="4" borderId="2" xfId="0" applyNumberFormat="true" applyFont="true" applyFill="true" applyBorder="true" applyAlignment="true" applyProtection="true">
      <alignment horizontal="center" vertical="center" wrapText="true"/>
      <protection locked="false"/>
    </xf>
    <xf numFmtId="0" fontId="52" fillId="4" borderId="2" xfId="25" applyFont="true" applyFill="true" applyBorder="true" applyAlignment="true">
      <alignment horizontal="center"/>
    </xf>
    <xf numFmtId="0" fontId="46" fillId="4" borderId="2" xfId="0" applyFont="true" applyFill="true" applyBorder="true" applyAlignment="true" applyProtection="true">
      <alignment horizontal="center" vertical="center" wrapText="true"/>
      <protection locked="false"/>
    </xf>
    <xf numFmtId="185" fontId="44" fillId="4" borderId="2" xfId="25" applyNumberFormat="true" applyFont="true" applyFill="true" applyBorder="true"/>
    <xf numFmtId="0" fontId="46" fillId="4" borderId="17" xfId="25" applyNumberFormat="true" applyFont="true" applyFill="true" applyBorder="true" applyAlignment="true" applyProtection="true">
      <alignment horizontal="center" vertical="center" wrapText="true"/>
    </xf>
    <xf numFmtId="0" fontId="5" fillId="0" borderId="1" xfId="0" applyNumberFormat="true" applyFont="true" applyFill="true" applyBorder="true" applyAlignment="true" applyProtection="true">
      <alignment horizontal="right" vertical="center" wrapText="true"/>
    </xf>
    <xf numFmtId="0" fontId="5" fillId="0" borderId="1" xfId="0" applyNumberFormat="true" applyFont="true" applyFill="true" applyBorder="true" applyAlignment="true" applyProtection="true">
      <alignment horizontal="center" vertical="center" wrapText="true"/>
    </xf>
    <xf numFmtId="0" fontId="42" fillId="0" borderId="1" xfId="0" applyNumberFormat="true" applyFont="true" applyFill="true" applyBorder="true" applyAlignment="true" applyProtection="true">
      <alignment horizontal="center" vertical="center" wrapText="true"/>
    </xf>
    <xf numFmtId="0" fontId="43" fillId="0" borderId="1" xfId="0" applyNumberFormat="true" applyFont="true" applyFill="true" applyBorder="true" applyAlignment="true" applyProtection="true">
      <alignment horizontal="center" vertical="center" wrapText="true"/>
    </xf>
    <xf numFmtId="0" fontId="5" fillId="0" borderId="1" xfId="0" applyNumberFormat="true" applyFont="true" applyFill="true" applyBorder="true" applyAlignment="true" applyProtection="true">
      <alignment vertical="center"/>
    </xf>
    <xf numFmtId="0" fontId="6" fillId="0" borderId="1" xfId="0" applyNumberFormat="true" applyFont="true" applyFill="true" applyBorder="true" applyAlignment="true" applyProtection="true">
      <alignment vertical="center"/>
    </xf>
    <xf numFmtId="0" fontId="41" fillId="0" borderId="0" xfId="0" applyNumberFormat="true" applyFont="true" applyFill="true" applyBorder="true" applyAlignment="true" applyProtection="true">
      <alignment horizontal="center" vertical="center"/>
    </xf>
    <xf numFmtId="0" fontId="5" fillId="0" borderId="0" xfId="0" applyNumberFormat="true" applyFont="true" applyFill="true" applyBorder="true" applyAlignment="true" applyProtection="true">
      <alignment horizontal="right" vertical="center" wrapText="true"/>
    </xf>
    <xf numFmtId="0" fontId="5" fillId="0" borderId="2" xfId="0" applyNumberFormat="true" applyFont="true" applyFill="true" applyBorder="true" applyAlignment="true" applyProtection="true">
      <alignment horizontal="center" vertical="center" wrapText="true"/>
    </xf>
    <xf numFmtId="0" fontId="42" fillId="0" borderId="2" xfId="0" applyNumberFormat="true" applyFont="true" applyFill="true" applyBorder="true" applyAlignment="true" applyProtection="true">
      <alignment horizontal="center" vertical="center" wrapText="true"/>
    </xf>
    <xf numFmtId="0" fontId="43" fillId="0" borderId="2" xfId="0" applyNumberFormat="true" applyFont="true" applyFill="true" applyBorder="true" applyAlignment="true" applyProtection="true">
      <alignment horizontal="center" vertical="center" wrapText="true"/>
    </xf>
    <xf numFmtId="0" fontId="5" fillId="0" borderId="2" xfId="0" applyNumberFormat="true" applyFont="true" applyFill="true" applyBorder="true" applyAlignment="true" applyProtection="true">
      <alignment vertical="center"/>
    </xf>
    <xf numFmtId="183" fontId="5" fillId="0" borderId="2" xfId="72" applyNumberFormat="true" applyFont="true" applyFill="true" applyBorder="true" applyAlignment="true" applyProtection="true">
      <alignment horizontal="right" vertical="center"/>
    </xf>
    <xf numFmtId="0" fontId="6" fillId="0" borderId="2" xfId="0" applyNumberFormat="true" applyFont="true" applyFill="true" applyBorder="true" applyAlignment="true" applyProtection="true">
      <alignment vertical="center"/>
    </xf>
    <xf numFmtId="183" fontId="6" fillId="0" borderId="2" xfId="72" applyNumberFormat="true" applyFont="true" applyFill="true" applyBorder="true" applyAlignment="true" applyProtection="true">
      <alignment horizontal="right" vertical="center"/>
    </xf>
    <xf numFmtId="0" fontId="1" fillId="0" borderId="2" xfId="0" applyFont="true" applyFill="true" applyBorder="true" applyAlignment="true"/>
    <xf numFmtId="0" fontId="46" fillId="4" borderId="2" xfId="0" applyFont="true" applyFill="true" applyBorder="true" applyAlignment="true">
      <alignment horizontal="left" vertical="center"/>
    </xf>
    <xf numFmtId="178" fontId="44" fillId="4" borderId="2" xfId="0" applyNumberFormat="true" applyFont="true" applyFill="true" applyBorder="true" applyAlignment="true" applyProtection="true">
      <alignment horizontal="left" vertical="center"/>
      <protection locked="false"/>
    </xf>
    <xf numFmtId="185" fontId="44" fillId="4" borderId="2" xfId="0" applyNumberFormat="true" applyFont="true" applyFill="true" applyBorder="true" applyAlignment="true">
      <alignment horizontal="center" vertical="center" wrapText="true"/>
    </xf>
    <xf numFmtId="179" fontId="44" fillId="4" borderId="2" xfId="0" applyNumberFormat="true" applyFont="true" applyFill="true" applyBorder="true" applyAlignment="true" applyProtection="true">
      <alignment horizontal="left" vertical="center"/>
      <protection locked="false"/>
    </xf>
    <xf numFmtId="178" fontId="46" fillId="4" borderId="2" xfId="0" applyNumberFormat="true" applyFont="true" applyFill="true" applyBorder="true" applyAlignment="true" applyProtection="true">
      <alignment horizontal="left" vertical="center"/>
      <protection locked="false"/>
    </xf>
    <xf numFmtId="0" fontId="44" fillId="4" borderId="2" xfId="0" applyFont="true" applyFill="true" applyBorder="true" applyAlignment="true">
      <alignment horizontal="center" vertical="center" wrapText="true"/>
    </xf>
    <xf numFmtId="0" fontId="45" fillId="4" borderId="0" xfId="0" applyFont="true" applyFill="true" applyAlignment="true" applyProtection="true">
      <alignment vertical="center"/>
      <protection locked="false"/>
    </xf>
    <xf numFmtId="0" fontId="54" fillId="4" borderId="0" xfId="0" applyFont="true" applyFill="true" applyAlignment="true" applyProtection="true">
      <alignment vertical="center"/>
      <protection locked="false"/>
    </xf>
    <xf numFmtId="0" fontId="46" fillId="4" borderId="0" xfId="0" applyFont="true" applyFill="true" applyAlignment="true" applyProtection="true">
      <alignment vertical="center"/>
      <protection locked="false"/>
    </xf>
    <xf numFmtId="0" fontId="44" fillId="4" borderId="0" xfId="0" applyFont="true" applyFill="true" applyAlignment="true" applyProtection="true">
      <alignment vertical="center"/>
      <protection locked="false"/>
    </xf>
    <xf numFmtId="184" fontId="44" fillId="4" borderId="0" xfId="0" applyNumberFormat="true" applyFont="true" applyFill="true" applyAlignment="true" applyProtection="true">
      <alignment vertical="center"/>
      <protection locked="false"/>
    </xf>
    <xf numFmtId="0" fontId="47" fillId="4" borderId="0" xfId="0" applyFont="true" applyFill="true" applyAlignment="true" applyProtection="true">
      <alignment vertical="center"/>
      <protection locked="false"/>
    </xf>
    <xf numFmtId="0" fontId="48" fillId="4" borderId="0" xfId="0" applyFont="true" applyFill="true" applyAlignment="true" applyProtection="true">
      <alignment horizontal="center" vertical="center"/>
      <protection locked="false"/>
    </xf>
    <xf numFmtId="184" fontId="48" fillId="4" borderId="0" xfId="0" applyNumberFormat="true" applyFont="true" applyFill="true" applyAlignment="true" applyProtection="true">
      <alignment horizontal="center" vertical="center"/>
      <protection locked="false"/>
    </xf>
    <xf numFmtId="0" fontId="46" fillId="4" borderId="15" xfId="0" applyFont="true" applyFill="true" applyBorder="true" applyAlignment="true" applyProtection="true">
      <alignment horizontal="center" vertical="center"/>
      <protection locked="false"/>
    </xf>
    <xf numFmtId="0" fontId="46" fillId="4" borderId="16" xfId="0" applyFont="true" applyFill="true" applyBorder="true" applyAlignment="true" applyProtection="true">
      <alignment horizontal="center" vertical="center"/>
      <protection locked="false"/>
    </xf>
    <xf numFmtId="184" fontId="46" fillId="4" borderId="16" xfId="0" applyNumberFormat="true" applyFont="true" applyFill="true" applyBorder="true" applyAlignment="true" applyProtection="true">
      <alignment horizontal="center" vertical="center"/>
      <protection locked="false"/>
    </xf>
    <xf numFmtId="0" fontId="46" fillId="4" borderId="6" xfId="0" applyFont="true" applyFill="true" applyBorder="true" applyAlignment="true" applyProtection="true">
      <alignment horizontal="center" vertical="center"/>
      <protection locked="false"/>
    </xf>
    <xf numFmtId="0" fontId="46" fillId="4" borderId="12" xfId="0" applyFont="true" applyFill="true" applyBorder="true" applyAlignment="true" applyProtection="true">
      <alignment horizontal="center" vertical="center"/>
      <protection locked="false"/>
    </xf>
    <xf numFmtId="0" fontId="46" fillId="4" borderId="2" xfId="0" applyFont="true" applyFill="true" applyBorder="true" applyAlignment="true" applyProtection="true">
      <alignment horizontal="left" vertical="center"/>
      <protection locked="false"/>
    </xf>
    <xf numFmtId="3" fontId="46" fillId="4" borderId="2" xfId="0" applyNumberFormat="true" applyFont="true" applyFill="true" applyBorder="true" applyAlignment="true" applyProtection="true">
      <alignment vertical="center"/>
      <protection locked="false"/>
    </xf>
    <xf numFmtId="1" fontId="46" fillId="4" borderId="2" xfId="0" applyNumberFormat="true" applyFont="true" applyFill="true" applyBorder="true" applyAlignment="true" applyProtection="true">
      <alignment vertical="center"/>
      <protection locked="false"/>
    </xf>
    <xf numFmtId="1" fontId="46" fillId="4" borderId="2" xfId="0" applyNumberFormat="true" applyFont="true" applyFill="true" applyBorder="true" applyAlignment="true" applyProtection="true">
      <alignment horizontal="left" vertical="center"/>
      <protection locked="false"/>
    </xf>
    <xf numFmtId="3" fontId="44" fillId="4" borderId="2" xfId="0" applyNumberFormat="true" applyFont="true" applyFill="true" applyBorder="true" applyAlignment="true" applyProtection="true">
      <alignment vertical="center"/>
      <protection locked="false"/>
    </xf>
    <xf numFmtId="0" fontId="44" fillId="4" borderId="2" xfId="0" applyNumberFormat="true" applyFont="true" applyFill="true" applyBorder="true" applyAlignment="true" applyProtection="true">
      <alignment vertical="center"/>
      <protection locked="false"/>
    </xf>
    <xf numFmtId="0" fontId="44" fillId="4" borderId="2" xfId="0" applyFont="true" applyFill="true" applyBorder="true" applyAlignment="true" applyProtection="true">
      <alignment vertical="center" wrapText="true"/>
      <protection locked="false"/>
    </xf>
    <xf numFmtId="0" fontId="46" fillId="4" borderId="2" xfId="0" applyFont="true" applyFill="true" applyBorder="true" applyAlignment="true" applyProtection="true">
      <alignment horizontal="center" vertical="center"/>
      <protection locked="false"/>
    </xf>
    <xf numFmtId="184" fontId="46" fillId="4" borderId="2" xfId="0" applyNumberFormat="true" applyFont="true" applyFill="true" applyBorder="true" applyAlignment="true" applyProtection="true">
      <alignment horizontal="center" vertical="center"/>
      <protection locked="false"/>
    </xf>
    <xf numFmtId="1" fontId="46" fillId="4" borderId="2" xfId="0" applyNumberFormat="true" applyFont="true" applyFill="true" applyBorder="true" applyAlignment="true" applyProtection="true">
      <alignment horizontal="right" vertical="center"/>
      <protection locked="false"/>
    </xf>
    <xf numFmtId="1" fontId="44" fillId="4" borderId="2" xfId="0" applyNumberFormat="true" applyFont="true" applyFill="true" applyBorder="true" applyAlignment="true" applyProtection="true">
      <alignment horizontal="left" vertical="center"/>
      <protection locked="false"/>
    </xf>
    <xf numFmtId="1" fontId="44" fillId="4" borderId="2" xfId="0" applyNumberFormat="true" applyFont="true" applyFill="true" applyBorder="true" applyAlignment="true" applyProtection="true">
      <alignment horizontal="right" vertical="center"/>
      <protection locked="false"/>
    </xf>
    <xf numFmtId="184" fontId="44" fillId="4" borderId="2" xfId="0" applyNumberFormat="true" applyFont="true" applyFill="true" applyBorder="true" applyAlignment="true" applyProtection="true">
      <alignment horizontal="left" vertical="center"/>
      <protection locked="false"/>
    </xf>
    <xf numFmtId="184" fontId="44" fillId="4" borderId="2" xfId="0" applyNumberFormat="true" applyFont="true" applyFill="true" applyBorder="true" applyAlignment="true" applyProtection="true">
      <alignment vertical="center"/>
      <protection locked="false"/>
    </xf>
    <xf numFmtId="184" fontId="54" fillId="4" borderId="2" xfId="0" applyNumberFormat="true" applyFont="true" applyFill="true" applyBorder="true" applyAlignment="true" applyProtection="true">
      <alignment vertical="center"/>
      <protection locked="false"/>
    </xf>
    <xf numFmtId="0" fontId="44" fillId="4" borderId="2" xfId="0" applyFont="true" applyFill="true" applyBorder="true" applyAlignment="true" applyProtection="true">
      <alignment vertical="center"/>
      <protection locked="false"/>
    </xf>
    <xf numFmtId="0" fontId="46" fillId="4" borderId="2" xfId="0" applyFont="true" applyFill="true" applyBorder="true" applyAlignment="true" applyProtection="true">
      <alignment vertical="center"/>
      <protection locked="false"/>
    </xf>
    <xf numFmtId="3" fontId="44" fillId="4" borderId="6" xfId="0" applyNumberFormat="true" applyFont="true" applyFill="true" applyBorder="true" applyAlignment="true" applyProtection="true">
      <alignment vertical="center"/>
      <protection locked="false"/>
    </xf>
    <xf numFmtId="3" fontId="44" fillId="4" borderId="13" xfId="0" applyNumberFormat="true" applyFont="true" applyFill="true" applyBorder="true" applyAlignment="true" applyProtection="true">
      <alignment vertical="center"/>
      <protection locked="false"/>
    </xf>
    <xf numFmtId="184" fontId="44" fillId="4" borderId="17" xfId="0" applyNumberFormat="true" applyFont="true" applyFill="true" applyBorder="true" applyAlignment="true" applyProtection="true">
      <alignment vertical="center"/>
      <protection locked="false"/>
    </xf>
    <xf numFmtId="3" fontId="46" fillId="4" borderId="6" xfId="0" applyNumberFormat="true" applyFont="true" applyFill="true" applyBorder="true" applyAlignment="true" applyProtection="true">
      <alignment vertical="center"/>
      <protection locked="false"/>
    </xf>
    <xf numFmtId="3" fontId="46" fillId="4" borderId="13" xfId="0" applyNumberFormat="true" applyFont="true" applyFill="true" applyBorder="true" applyAlignment="true" applyProtection="true">
      <alignment vertical="center"/>
      <protection locked="false"/>
    </xf>
    <xf numFmtId="184" fontId="46" fillId="4" borderId="17" xfId="0" applyNumberFormat="true" applyFont="true" applyFill="true" applyBorder="true" applyAlignment="true" applyProtection="true">
      <alignment vertical="center"/>
      <protection locked="false"/>
    </xf>
    <xf numFmtId="184" fontId="46" fillId="4" borderId="2" xfId="0" applyNumberFormat="true" applyFont="true" applyFill="true" applyBorder="true" applyAlignment="true" applyProtection="true">
      <alignment horizontal="distributed" vertical="center"/>
      <protection locked="false"/>
    </xf>
    <xf numFmtId="0" fontId="46" fillId="4" borderId="2" xfId="0" applyFont="true" applyFill="true" applyBorder="true" applyAlignment="true" applyProtection="true">
      <alignment horizontal="left" vertical="center" wrapText="true"/>
      <protection locked="false"/>
    </xf>
    <xf numFmtId="184" fontId="46" fillId="4" borderId="2" xfId="0" applyNumberFormat="true" applyFont="true" applyFill="true" applyBorder="true" applyAlignment="true" applyProtection="true">
      <alignment vertical="center"/>
      <protection locked="false"/>
    </xf>
    <xf numFmtId="0" fontId="44" fillId="4" borderId="0" xfId="0" applyFont="true" applyFill="true" applyBorder="true" applyAlignment="true" applyProtection="true">
      <alignment vertical="center"/>
      <protection locked="false"/>
    </xf>
    <xf numFmtId="0" fontId="44" fillId="0" borderId="0" xfId="0" applyFont="true" applyFill="true" applyAlignment="true">
      <alignment vertical="center"/>
    </xf>
    <xf numFmtId="0" fontId="45" fillId="0" borderId="0" xfId="0" applyFont="true" applyFill="true" applyAlignment="true">
      <alignment vertical="center"/>
    </xf>
    <xf numFmtId="0" fontId="46" fillId="0" borderId="0" xfId="0" applyFont="true" applyFill="true" applyAlignment="true">
      <alignment vertical="center"/>
    </xf>
    <xf numFmtId="0" fontId="44" fillId="0" borderId="0" xfId="0" applyFont="true" applyFill="true" applyAlignment="true">
      <alignment horizontal="left" vertical="center"/>
    </xf>
    <xf numFmtId="0" fontId="47" fillId="0" borderId="0" xfId="0" applyFont="true" applyFill="true" applyAlignment="true">
      <alignment horizontal="left" vertical="center"/>
    </xf>
    <xf numFmtId="0" fontId="48" fillId="0" borderId="0" xfId="0" applyFont="true" applyFill="true" applyAlignment="true">
      <alignment horizontal="center" vertical="center"/>
    </xf>
    <xf numFmtId="0" fontId="46" fillId="0" borderId="15" xfId="0" applyFont="true" applyFill="true" applyBorder="true" applyAlignment="true">
      <alignment horizontal="center" vertical="center"/>
    </xf>
    <xf numFmtId="0" fontId="46" fillId="0" borderId="17" xfId="0" applyFont="true" applyFill="true" applyBorder="true" applyAlignment="true">
      <alignment horizontal="center" vertical="center"/>
    </xf>
    <xf numFmtId="0" fontId="46" fillId="0" borderId="6" xfId="0" applyFont="true" applyFill="true" applyBorder="true" applyAlignment="true">
      <alignment horizontal="center" vertical="center" wrapText="true"/>
    </xf>
    <xf numFmtId="0" fontId="46" fillId="0" borderId="15" xfId="0" applyFont="true" applyFill="true" applyBorder="true" applyAlignment="true">
      <alignment horizontal="center" vertical="center" wrapText="true"/>
    </xf>
    <xf numFmtId="0" fontId="46" fillId="0" borderId="2" xfId="0" applyFont="true" applyFill="true" applyBorder="true" applyAlignment="true">
      <alignment horizontal="center" vertical="center"/>
    </xf>
    <xf numFmtId="0" fontId="46" fillId="0" borderId="12" xfId="0" applyFont="true" applyFill="true" applyBorder="true" applyAlignment="true">
      <alignment horizontal="center" vertical="center" wrapText="true"/>
    </xf>
    <xf numFmtId="0" fontId="46" fillId="0" borderId="2" xfId="0" applyFont="true" applyFill="true" applyBorder="true" applyAlignment="true">
      <alignment horizontal="center" vertical="center" wrapText="true"/>
    </xf>
    <xf numFmtId="0" fontId="49" fillId="0" borderId="2" xfId="0" applyFont="true" applyFill="true" applyBorder="true" applyAlignment="true">
      <alignment horizontal="left" vertical="center"/>
    </xf>
    <xf numFmtId="0" fontId="49" fillId="0" borderId="17" xfId="0" applyFont="true" applyFill="true" applyBorder="true" applyAlignment="true">
      <alignment vertical="center"/>
    </xf>
    <xf numFmtId="43" fontId="49" fillId="0" borderId="2" xfId="72" applyFont="true" applyFill="true" applyBorder="true" applyAlignment="true">
      <alignment vertical="center"/>
    </xf>
    <xf numFmtId="0" fontId="46" fillId="0" borderId="12" xfId="0" applyFont="true" applyFill="true" applyBorder="true" applyAlignment="true">
      <alignment vertical="center"/>
    </xf>
    <xf numFmtId="0" fontId="11" fillId="0" borderId="2" xfId="0" applyFont="true" applyFill="true" applyBorder="true" applyAlignment="true">
      <alignment horizontal="left" vertical="center"/>
    </xf>
    <xf numFmtId="178" fontId="11" fillId="0" borderId="17" xfId="0" applyNumberFormat="true" applyFont="true" applyFill="true" applyBorder="true" applyAlignment="true">
      <alignment horizontal="left" vertical="center"/>
    </xf>
    <xf numFmtId="43" fontId="11" fillId="0" borderId="2" xfId="72" applyFont="true" applyFill="true" applyBorder="true" applyAlignment="true">
      <alignment vertical="center"/>
    </xf>
    <xf numFmtId="0" fontId="44" fillId="0" borderId="12" xfId="0" applyFont="true" applyFill="true" applyBorder="true" applyAlignment="true">
      <alignment vertical="center"/>
    </xf>
    <xf numFmtId="0" fontId="44" fillId="0" borderId="2" xfId="0" applyFont="true" applyFill="true" applyBorder="true" applyAlignment="true">
      <alignment vertical="center"/>
    </xf>
    <xf numFmtId="0" fontId="11" fillId="5" borderId="2" xfId="0" applyFont="true" applyFill="true" applyBorder="true" applyAlignment="true">
      <alignment horizontal="left" vertical="center"/>
    </xf>
    <xf numFmtId="179" fontId="11" fillId="5" borderId="17" xfId="0" applyNumberFormat="true" applyFont="true" applyFill="true" applyBorder="true" applyAlignment="true">
      <alignment horizontal="left" vertical="center"/>
    </xf>
    <xf numFmtId="179" fontId="11" fillId="0" borderId="17" xfId="0" applyNumberFormat="true" applyFont="true" applyFill="true" applyBorder="true" applyAlignment="true">
      <alignment horizontal="left" vertical="center"/>
    </xf>
    <xf numFmtId="0" fontId="11" fillId="5" borderId="17" xfId="0" applyFont="true" applyFill="true" applyBorder="true" applyAlignment="true">
      <alignment vertical="center"/>
    </xf>
    <xf numFmtId="0" fontId="11" fillId="0" borderId="17" xfId="0" applyFont="true" applyFill="true" applyBorder="true" applyAlignment="true">
      <alignment vertical="center"/>
    </xf>
    <xf numFmtId="178" fontId="11" fillId="5" borderId="14" xfId="0" applyNumberFormat="true" applyFont="true" applyFill="true" applyBorder="true" applyAlignment="true">
      <alignment horizontal="left" vertical="center"/>
    </xf>
    <xf numFmtId="178" fontId="11" fillId="5" borderId="17" xfId="0" applyNumberFormat="true" applyFont="true" applyFill="true" applyBorder="true" applyAlignment="true">
      <alignment horizontal="left" vertical="center"/>
    </xf>
    <xf numFmtId="178" fontId="11" fillId="0" borderId="14" xfId="0" applyNumberFormat="true" applyFont="true" applyFill="true" applyBorder="true" applyAlignment="true">
      <alignment horizontal="left" vertical="center"/>
    </xf>
    <xf numFmtId="0" fontId="44" fillId="0" borderId="0" xfId="0" applyFont="true" applyFill="true" applyAlignment="true">
      <alignment horizontal="right" vertical="center"/>
    </xf>
    <xf numFmtId="0" fontId="46" fillId="0" borderId="17" xfId="0" applyFont="true" applyFill="true" applyBorder="true" applyAlignment="true">
      <alignment horizontal="center" vertical="center" wrapText="true"/>
    </xf>
    <xf numFmtId="0" fontId="46" fillId="0" borderId="0" xfId="0" applyFont="true" applyFill="true" applyAlignment="true">
      <alignment horizontal="center" vertical="center" wrapText="true"/>
    </xf>
    <xf numFmtId="0" fontId="49" fillId="0" borderId="2" xfId="29" applyFont="true" applyFill="true" applyBorder="true" applyAlignment="true">
      <alignment horizontal="center" vertical="center" wrapText="true"/>
    </xf>
    <xf numFmtId="43" fontId="46" fillId="0" borderId="0" xfId="72" applyFont="true" applyFill="true" applyAlignment="true">
      <alignment vertical="center"/>
    </xf>
    <xf numFmtId="10" fontId="0" fillId="0" borderId="12" xfId="72" applyNumberFormat="true" applyFont="true" applyFill="true" applyBorder="true" applyAlignment="true">
      <alignment horizontal="center" vertical="center" wrapText="true"/>
    </xf>
    <xf numFmtId="0" fontId="44" fillId="4" borderId="12" xfId="0" applyFont="true" applyFill="true" applyBorder="true" applyAlignment="true">
      <alignment vertical="center"/>
    </xf>
    <xf numFmtId="43" fontId="11" fillId="0" borderId="12" xfId="72" applyFont="true" applyFill="true" applyBorder="true" applyAlignment="true">
      <alignment vertical="center"/>
    </xf>
    <xf numFmtId="179" fontId="11" fillId="0" borderId="14" xfId="0" applyNumberFormat="true" applyFont="true" applyFill="true" applyBorder="true" applyAlignment="true">
      <alignment horizontal="left" vertical="center"/>
    </xf>
    <xf numFmtId="178" fontId="11" fillId="6" borderId="17" xfId="0" applyNumberFormat="true" applyFont="true" applyFill="true" applyBorder="true" applyAlignment="true">
      <alignment horizontal="left" vertical="center"/>
    </xf>
    <xf numFmtId="43" fontId="11" fillId="6" borderId="2" xfId="72" applyFont="true" applyFill="true" applyBorder="true" applyAlignment="true">
      <alignment vertical="center"/>
    </xf>
    <xf numFmtId="0" fontId="11" fillId="0" borderId="14" xfId="0" applyFont="true" applyFill="true" applyBorder="true" applyAlignment="true">
      <alignment vertical="center"/>
    </xf>
    <xf numFmtId="43" fontId="44" fillId="0" borderId="0" xfId="72" applyFont="true" applyFill="true" applyAlignment="true">
      <alignment vertical="center"/>
    </xf>
    <xf numFmtId="43" fontId="11" fillId="6" borderId="12" xfId="72" applyFont="true" applyFill="true" applyBorder="true" applyAlignment="true">
      <alignment vertical="center"/>
    </xf>
    <xf numFmtId="43" fontId="44" fillId="4" borderId="0" xfId="72" applyFont="true" applyFill="true" applyAlignment="true">
      <alignment vertical="center"/>
    </xf>
    <xf numFmtId="0" fontId="46" fillId="4" borderId="12" xfId="0" applyFont="true" applyFill="true" applyBorder="true" applyAlignment="true">
      <alignment vertical="center"/>
    </xf>
    <xf numFmtId="179" fontId="11" fillId="6" borderId="17" xfId="0" applyNumberFormat="true" applyFont="true" applyFill="true" applyBorder="true" applyAlignment="true">
      <alignment horizontal="left" vertical="center"/>
    </xf>
    <xf numFmtId="0" fontId="44" fillId="0" borderId="2" xfId="0" applyNumberFormat="true" applyFont="true" applyFill="true" applyBorder="true" applyAlignment="true" applyProtection="true">
      <alignment vertical="center"/>
      <protection locked="false"/>
    </xf>
    <xf numFmtId="1" fontId="44" fillId="0" borderId="2" xfId="0" applyNumberFormat="true" applyFont="true" applyFill="true" applyBorder="true" applyAlignment="true" applyProtection="true">
      <alignment vertical="center"/>
      <protection locked="false"/>
    </xf>
    <xf numFmtId="178" fontId="49" fillId="0" borderId="17" xfId="0" applyNumberFormat="true" applyFont="true" applyFill="true" applyBorder="true" applyAlignment="true">
      <alignment horizontal="left" vertical="center"/>
    </xf>
    <xf numFmtId="179" fontId="49" fillId="0" borderId="17" xfId="0" applyNumberFormat="true" applyFont="true" applyFill="true" applyBorder="true" applyAlignment="true">
      <alignment horizontal="left" vertical="center"/>
    </xf>
    <xf numFmtId="1" fontId="44" fillId="4" borderId="12" xfId="0" applyNumberFormat="true" applyFont="true" applyFill="true" applyBorder="true" applyAlignment="true" applyProtection="true">
      <alignment vertical="center"/>
      <protection locked="false"/>
    </xf>
    <xf numFmtId="0" fontId="44" fillId="0" borderId="12" xfId="0" applyNumberFormat="true" applyFont="true" applyFill="true" applyBorder="true" applyAlignment="true" applyProtection="true">
      <alignment vertical="center"/>
      <protection locked="false"/>
    </xf>
    <xf numFmtId="0" fontId="44" fillId="4" borderId="12" xfId="0" applyNumberFormat="true" applyFont="true" applyFill="true" applyBorder="true" applyAlignment="true" applyProtection="true">
      <alignment vertical="center"/>
      <protection locked="false"/>
    </xf>
    <xf numFmtId="1" fontId="44" fillId="0" borderId="12" xfId="0" applyNumberFormat="true" applyFont="true" applyFill="true" applyBorder="true" applyAlignment="true" applyProtection="true">
      <alignment vertical="center"/>
      <protection locked="false"/>
    </xf>
    <xf numFmtId="43" fontId="49" fillId="0" borderId="12" xfId="72" applyFont="true" applyFill="true" applyBorder="true" applyAlignment="true">
      <alignment vertical="center"/>
    </xf>
    <xf numFmtId="178" fontId="11" fillId="6" borderId="14" xfId="0" applyNumberFormat="true" applyFont="true" applyFill="true" applyBorder="true" applyAlignment="true">
      <alignment horizontal="left" vertical="center"/>
    </xf>
    <xf numFmtId="0" fontId="11" fillId="6" borderId="17" xfId="0" applyFont="true" applyFill="true" applyBorder="true" applyAlignment="true">
      <alignment vertical="center"/>
    </xf>
    <xf numFmtId="179" fontId="11" fillId="5" borderId="14" xfId="0" applyNumberFormat="true" applyFont="true" applyFill="true" applyBorder="true" applyAlignment="true">
      <alignment horizontal="left" vertical="center"/>
    </xf>
    <xf numFmtId="178" fontId="55" fillId="0" borderId="17" xfId="0" applyNumberFormat="true" applyFont="true" applyFill="true" applyBorder="true" applyAlignment="true">
      <alignment horizontal="left" vertical="center"/>
    </xf>
    <xf numFmtId="0" fontId="52" fillId="4" borderId="2" xfId="0" applyFont="true" applyFill="true" applyBorder="true" applyAlignment="true">
      <alignment vertical="center"/>
    </xf>
    <xf numFmtId="0" fontId="11" fillId="0" borderId="17" xfId="0" applyFont="true" applyFill="true" applyBorder="true" applyAlignment="true">
      <alignment horizontal="left" vertical="center"/>
    </xf>
    <xf numFmtId="0" fontId="52" fillId="4" borderId="12" xfId="0" applyFont="true" applyFill="true" applyBorder="true" applyAlignment="true">
      <alignment vertical="center"/>
    </xf>
    <xf numFmtId="0" fontId="52" fillId="0" borderId="2" xfId="0" applyFont="true" applyFill="true" applyBorder="true" applyAlignment="true">
      <alignment vertical="center"/>
    </xf>
    <xf numFmtId="0" fontId="11" fillId="0" borderId="16" xfId="0" applyFont="true" applyFill="true" applyBorder="true" applyAlignment="true">
      <alignment vertical="center"/>
    </xf>
    <xf numFmtId="0" fontId="49" fillId="0" borderId="16" xfId="0" applyFont="true" applyFill="true" applyBorder="true" applyAlignment="true">
      <alignment vertical="center"/>
    </xf>
    <xf numFmtId="0" fontId="11" fillId="5" borderId="16" xfId="0" applyFont="true" applyFill="true" applyBorder="true" applyAlignment="true">
      <alignment vertical="center"/>
    </xf>
    <xf numFmtId="0" fontId="52" fillId="0" borderId="12" xfId="0" applyFont="true" applyFill="true" applyBorder="true" applyAlignment="true">
      <alignment vertical="center"/>
    </xf>
    <xf numFmtId="177" fontId="0" fillId="7" borderId="2" xfId="0" applyNumberFormat="true" applyFont="true" applyFill="true" applyBorder="true" applyAlignment="true" applyProtection="true">
      <alignment horizontal="left" vertical="center" wrapText="true"/>
      <protection locked="false"/>
    </xf>
    <xf numFmtId="0" fontId="11" fillId="6" borderId="16" xfId="0" applyFont="true" applyFill="true" applyBorder="true" applyAlignment="true">
      <alignment vertical="center"/>
    </xf>
    <xf numFmtId="43" fontId="56" fillId="6" borderId="2" xfId="72" applyFont="true" applyFill="true" applyBorder="true" applyAlignment="true">
      <alignment vertical="center"/>
    </xf>
    <xf numFmtId="43" fontId="56" fillId="0" borderId="2" xfId="72" applyFont="true" applyFill="true" applyBorder="true" applyAlignment="true">
      <alignment vertical="center"/>
    </xf>
    <xf numFmtId="43" fontId="56" fillId="6" borderId="12" xfId="72" applyFont="true" applyFill="true" applyBorder="true" applyAlignment="true">
      <alignment vertical="center"/>
    </xf>
    <xf numFmtId="43" fontId="56" fillId="0" borderId="12" xfId="72" applyFont="true" applyFill="true" applyBorder="true" applyAlignment="true">
      <alignment vertical="center"/>
    </xf>
    <xf numFmtId="0" fontId="11" fillId="5" borderId="0" xfId="0" applyFont="true" applyFill="true" applyAlignment="true">
      <alignment vertical="center"/>
    </xf>
    <xf numFmtId="0" fontId="11" fillId="8" borderId="16" xfId="0" applyFont="true" applyFill="true" applyBorder="true" applyAlignment="true">
      <alignment vertical="center"/>
    </xf>
    <xf numFmtId="43" fontId="11" fillId="8" borderId="2" xfId="72" applyFont="true" applyFill="true" applyBorder="true" applyAlignment="true">
      <alignment vertical="center"/>
    </xf>
    <xf numFmtId="43" fontId="11" fillId="8" borderId="12" xfId="72" applyFont="true" applyFill="true" applyBorder="true" applyAlignment="true">
      <alignment vertical="center"/>
    </xf>
    <xf numFmtId="0" fontId="46" fillId="0" borderId="2" xfId="0" applyFont="true" applyFill="true" applyBorder="true" applyAlignment="true">
      <alignment vertical="center"/>
    </xf>
    <xf numFmtId="0" fontId="11" fillId="8" borderId="17" xfId="0" applyFont="true" applyFill="true" applyBorder="true" applyAlignment="true">
      <alignment vertical="center"/>
    </xf>
    <xf numFmtId="0" fontId="49" fillId="0" borderId="17" xfId="0" applyFont="true" applyFill="true" applyBorder="true" applyAlignment="true">
      <alignment horizontal="center" vertical="center"/>
    </xf>
    <xf numFmtId="0" fontId="52" fillId="4" borderId="0" xfId="0" applyFont="true" applyFill="true" applyAlignment="true">
      <alignment vertical="center"/>
    </xf>
    <xf numFmtId="184" fontId="44" fillId="4" borderId="0" xfId="0" applyNumberFormat="true" applyFont="true" applyFill="true" applyAlignment="true">
      <alignment vertical="center" wrapText="true"/>
    </xf>
    <xf numFmtId="0" fontId="57" fillId="4" borderId="0" xfId="0" applyFont="true" applyFill="true" applyAlignment="true">
      <alignment vertical="center"/>
    </xf>
    <xf numFmtId="0" fontId="46" fillId="4" borderId="15" xfId="0" applyFont="true" applyFill="true" applyBorder="true" applyAlignment="true">
      <alignment horizontal="center" vertical="center"/>
    </xf>
    <xf numFmtId="0" fontId="46" fillId="4" borderId="17" xfId="0" applyFont="true" applyFill="true" applyBorder="true" applyAlignment="true">
      <alignment horizontal="center" vertical="center"/>
    </xf>
    <xf numFmtId="185" fontId="46" fillId="4" borderId="2" xfId="0" applyNumberFormat="true" applyFont="true" applyFill="true" applyBorder="true" applyAlignment="true">
      <alignment horizontal="right" vertical="center" wrapText="true"/>
    </xf>
    <xf numFmtId="185" fontId="44" fillId="4" borderId="2" xfId="0" applyNumberFormat="true" applyFont="true" applyFill="true" applyBorder="true" applyAlignment="true">
      <alignment horizontal="right" vertical="center" wrapText="true"/>
    </xf>
    <xf numFmtId="183" fontId="0" fillId="0" borderId="2" xfId="72" applyNumberFormat="true" applyFont="true" applyFill="true" applyBorder="true" applyAlignment="true">
      <alignment horizontal="center" vertical="center" wrapText="true"/>
    </xf>
    <xf numFmtId="185" fontId="52" fillId="4" borderId="2" xfId="0" applyNumberFormat="true" applyFont="true" applyFill="true" applyBorder="true" applyAlignment="true">
      <alignment horizontal="right" vertical="center" wrapText="true"/>
    </xf>
    <xf numFmtId="0" fontId="44" fillId="4" borderId="0" xfId="0" applyFont="true" applyFill="true" applyAlignment="true">
      <alignment horizontal="justify" vertical="center"/>
    </xf>
    <xf numFmtId="184" fontId="48" fillId="4" borderId="0" xfId="0" applyNumberFormat="true" applyFont="true" applyFill="true" applyAlignment="true">
      <alignment horizontal="center" vertical="center" wrapText="true"/>
    </xf>
    <xf numFmtId="184" fontId="44" fillId="4" borderId="0" xfId="0" applyNumberFormat="true" applyFont="true" applyFill="true" applyAlignment="true">
      <alignment horizontal="right" vertical="center" wrapText="true"/>
    </xf>
    <xf numFmtId="0" fontId="46" fillId="4" borderId="15" xfId="0" applyFont="true" applyFill="true" applyBorder="true" applyAlignment="true">
      <alignment horizontal="center" vertical="center" wrapText="true"/>
    </xf>
    <xf numFmtId="184" fontId="46" fillId="4" borderId="16" xfId="0" applyNumberFormat="true" applyFont="true" applyFill="true" applyBorder="true" applyAlignment="true">
      <alignment horizontal="center" vertical="center" wrapText="true"/>
    </xf>
    <xf numFmtId="184" fontId="46" fillId="4" borderId="17" xfId="0" applyNumberFormat="true" applyFont="true" applyFill="true" applyBorder="true" applyAlignment="true">
      <alignment horizontal="center" vertical="center" wrapText="true"/>
    </xf>
    <xf numFmtId="184" fontId="49" fillId="6" borderId="2" xfId="0" applyNumberFormat="true" applyFont="true" applyFill="true" applyBorder="true" applyAlignment="true">
      <alignment vertical="center"/>
    </xf>
    <xf numFmtId="184" fontId="49" fillId="0" borderId="2" xfId="0" applyNumberFormat="true" applyFont="true" applyBorder="true" applyAlignment="true">
      <alignment vertical="center"/>
    </xf>
    <xf numFmtId="184" fontId="11" fillId="0" borderId="2" xfId="0" applyNumberFormat="true" applyFont="true" applyBorder="true" applyAlignment="true">
      <alignment vertical="center"/>
    </xf>
    <xf numFmtId="183" fontId="0" fillId="0" borderId="2" xfId="107" applyNumberFormat="true" applyFont="true" applyFill="true" applyBorder="true" applyAlignment="true">
      <alignment horizontal="center" vertical="center" wrapText="true"/>
    </xf>
    <xf numFmtId="0" fontId="58" fillId="0" borderId="2" xfId="0" applyFont="true" applyFill="true" applyBorder="true" applyAlignment="true">
      <alignment horizontal="center" vertical="center" wrapText="true"/>
    </xf>
    <xf numFmtId="0" fontId="58" fillId="9" borderId="2" xfId="0" applyFont="true" applyFill="true" applyBorder="true" applyAlignment="true">
      <alignment horizontal="center" vertical="center" wrapText="true"/>
    </xf>
    <xf numFmtId="183" fontId="0" fillId="0" borderId="2" xfId="12" applyNumberFormat="true" applyFont="true" applyFill="true" applyBorder="true" applyAlignment="true">
      <alignment horizontal="center" vertical="center" wrapText="true"/>
    </xf>
    <xf numFmtId="183" fontId="0" fillId="0" borderId="2" xfId="99" applyNumberFormat="true" applyFont="true" applyFill="true" applyBorder="true" applyAlignment="true">
      <alignment horizontal="center" vertical="center" wrapText="true"/>
    </xf>
    <xf numFmtId="183" fontId="23" fillId="0" borderId="2" xfId="99" applyNumberFormat="true" applyFont="true" applyFill="true" applyBorder="true" applyAlignment="true">
      <alignment horizontal="center" vertical="center" wrapText="true"/>
    </xf>
    <xf numFmtId="183" fontId="23" fillId="0" borderId="2" xfId="12" applyNumberFormat="true" applyFont="true" applyFill="true" applyBorder="true" applyAlignment="true">
      <alignment horizontal="center" vertical="center" wrapText="true"/>
    </xf>
    <xf numFmtId="0" fontId="23" fillId="0" borderId="15" xfId="9" applyFont="true" applyFill="true" applyBorder="true" applyAlignment="true">
      <alignment horizontal="center" vertical="center" wrapText="true"/>
    </xf>
    <xf numFmtId="0" fontId="23" fillId="0" borderId="17" xfId="9" applyFont="true" applyFill="true" applyBorder="true" applyAlignment="true">
      <alignment horizontal="center" vertical="center" wrapText="true"/>
    </xf>
    <xf numFmtId="0" fontId="23" fillId="0" borderId="2" xfId="9" applyFont="true" applyFill="true" applyBorder="true" applyAlignment="true">
      <alignment vertical="center" wrapText="true"/>
    </xf>
    <xf numFmtId="0" fontId="0" fillId="0" borderId="2" xfId="9" applyFont="true" applyFill="true" applyBorder="true" applyAlignment="true">
      <alignment horizontal="center" vertical="center" wrapText="true"/>
    </xf>
    <xf numFmtId="0" fontId="58" fillId="0" borderId="12" xfId="0" applyFont="true" applyFill="true" applyBorder="true" applyAlignment="true">
      <alignment horizontal="center" vertical="center" wrapText="true"/>
    </xf>
    <xf numFmtId="183" fontId="0" fillId="0" borderId="2" xfId="8" applyNumberFormat="true" applyFont="true" applyFill="true" applyBorder="true" applyAlignment="true">
      <alignment horizontal="center" vertical="center" wrapText="true"/>
    </xf>
    <xf numFmtId="0" fontId="59" fillId="0" borderId="2" xfId="0" applyFont="true" applyFill="true" applyBorder="true" applyAlignment="true">
      <alignment vertical="center"/>
    </xf>
    <xf numFmtId="183" fontId="0" fillId="0" borderId="2" xfId="2" applyNumberFormat="true" applyFont="true" applyFill="true" applyBorder="true" applyAlignment="true">
      <alignment horizontal="center" vertical="center" wrapText="true"/>
    </xf>
    <xf numFmtId="183" fontId="23" fillId="0" borderId="2" xfId="2" applyNumberFormat="true" applyFont="true" applyFill="true" applyBorder="true" applyAlignment="true" applyProtection="true">
      <alignment horizontal="center" vertical="center" wrapText="true"/>
    </xf>
    <xf numFmtId="183" fontId="23" fillId="0" borderId="2" xfId="8" applyNumberFormat="true" applyFont="true" applyFill="true" applyBorder="true" applyAlignment="true" applyProtection="true">
      <alignment horizontal="center" vertical="center" wrapText="true"/>
    </xf>
    <xf numFmtId="0" fontId="30" fillId="0" borderId="0" xfId="0" applyFont="true" applyFill="true" applyBorder="true" applyAlignment="true">
      <alignment vertical="center"/>
    </xf>
    <xf numFmtId="0" fontId="36" fillId="0" borderId="0" xfId="0" applyFont="true" applyFill="true" applyBorder="true" applyAlignment="true">
      <alignment horizontal="center" vertical="center"/>
    </xf>
    <xf numFmtId="0" fontId="23" fillId="0" borderId="2" xfId="0" applyFont="true" applyFill="true" applyBorder="true" applyAlignment="true">
      <alignment horizontal="center" vertical="center"/>
    </xf>
    <xf numFmtId="3" fontId="0" fillId="0" borderId="2" xfId="0" applyNumberFormat="true" applyFont="true" applyFill="true" applyBorder="true" applyAlignment="true" applyProtection="true">
      <alignment vertical="center"/>
    </xf>
    <xf numFmtId="183" fontId="0" fillId="0" borderId="2" xfId="72" applyNumberFormat="true" applyFont="true" applyFill="true" applyBorder="true" applyAlignment="true">
      <alignment horizontal="center" vertical="center"/>
    </xf>
    <xf numFmtId="183" fontId="23" fillId="0" borderId="2" xfId="72" applyNumberFormat="true" applyFont="true" applyFill="true" applyBorder="true" applyAlignment="true">
      <alignment horizontal="center" vertical="center"/>
    </xf>
    <xf numFmtId="43" fontId="23" fillId="0" borderId="2" xfId="72" applyFont="true" applyFill="true" applyBorder="true" applyAlignment="true">
      <alignment vertical="center"/>
    </xf>
    <xf numFmtId="3" fontId="23" fillId="0" borderId="2" xfId="0" applyNumberFormat="true" applyFont="true" applyFill="true" applyBorder="true" applyAlignment="true" applyProtection="true">
      <alignment vertical="center"/>
    </xf>
    <xf numFmtId="0" fontId="0" fillId="0" borderId="2" xfId="0" applyNumberFormat="true" applyFont="true" applyFill="true" applyBorder="true" applyAlignment="true" applyProtection="true">
      <alignment horizontal="left" vertical="center"/>
    </xf>
    <xf numFmtId="0" fontId="0" fillId="0" borderId="2" xfId="0" applyNumberFormat="true" applyFont="true" applyFill="true" applyBorder="true" applyAlignment="true" applyProtection="true">
      <alignment horizontal="left" vertical="center" wrapText="true"/>
    </xf>
    <xf numFmtId="0" fontId="23" fillId="0" borderId="2" xfId="0" applyNumberFormat="true" applyFont="true" applyFill="true" applyBorder="true" applyAlignment="true" applyProtection="true">
      <alignment horizontal="left" vertical="center" wrapText="true"/>
    </xf>
    <xf numFmtId="0" fontId="23" fillId="0" borderId="2" xfId="0" applyNumberFormat="true" applyFont="true" applyFill="true" applyBorder="true" applyAlignment="true" applyProtection="true">
      <alignment horizontal="center" vertical="center"/>
    </xf>
    <xf numFmtId="0" fontId="60" fillId="0" borderId="0" xfId="0" applyFont="true" applyFill="true" applyBorder="true" applyAlignment="true">
      <alignment horizontal="center" vertical="center"/>
    </xf>
    <xf numFmtId="0" fontId="0" fillId="9" borderId="2" xfId="0" applyNumberFormat="true" applyFont="true" applyFill="true" applyBorder="true" applyAlignment="true" applyProtection="true">
      <alignment horizontal="left" vertical="center" wrapText="true"/>
    </xf>
    <xf numFmtId="183" fontId="0" fillId="9" borderId="2" xfId="72" applyNumberFormat="true" applyFont="true" applyFill="true" applyBorder="true" applyAlignment="true">
      <alignment horizontal="center" vertical="center"/>
    </xf>
    <xf numFmtId="10" fontId="0" fillId="0" borderId="2" xfId="72" applyNumberFormat="true" applyFont="true" applyFill="true" applyBorder="true" applyAlignment="true">
      <alignment vertical="center"/>
    </xf>
    <xf numFmtId="10" fontId="23" fillId="0" borderId="2" xfId="72" applyNumberFormat="true" applyFont="true" applyFill="true" applyBorder="true" applyAlignment="true">
      <alignment vertical="center"/>
    </xf>
    <xf numFmtId="0" fontId="0" fillId="0" borderId="0" xfId="0" applyFill="true" applyBorder="true" applyAlignment="true"/>
    <xf numFmtId="0" fontId="61" fillId="0" borderId="0" xfId="0" applyNumberFormat="true" applyFont="true" applyFill="true" applyBorder="true" applyAlignment="true">
      <alignment horizontal="center"/>
    </xf>
    <xf numFmtId="0" fontId="0" fillId="0" borderId="0" xfId="0" applyFont="true" applyFill="true" applyBorder="true" applyAlignment="true">
      <alignment vertical="center" wrapText="true"/>
    </xf>
    <xf numFmtId="0" fontId="30" fillId="0" borderId="0" xfId="0" applyFont="true" applyFill="true" applyBorder="true" applyAlignment="true">
      <alignment vertical="center" wrapText="true"/>
    </xf>
    <xf numFmtId="0" fontId="23" fillId="0" borderId="0" xfId="0" applyFont="true" applyFill="true" applyBorder="true" applyAlignment="true">
      <alignment vertical="center" wrapText="true"/>
    </xf>
    <xf numFmtId="184" fontId="0" fillId="0" borderId="0" xfId="0" applyNumberFormat="true" applyFont="true" applyFill="true" applyBorder="true" applyAlignment="true">
      <alignment vertical="center" wrapText="true"/>
    </xf>
    <xf numFmtId="184" fontId="30" fillId="0" borderId="0" xfId="0" applyNumberFormat="true" applyFont="true" applyFill="true" applyBorder="true" applyAlignment="true">
      <alignment vertical="center" wrapText="true"/>
    </xf>
    <xf numFmtId="0" fontId="36" fillId="0" borderId="0" xfId="0" applyFont="true" applyFill="true" applyBorder="true" applyAlignment="true">
      <alignment horizontal="center" vertical="center" wrapText="true"/>
    </xf>
    <xf numFmtId="184" fontId="36" fillId="0" borderId="0" xfId="0" applyNumberFormat="true" applyFont="true" applyFill="true" applyBorder="true" applyAlignment="true">
      <alignment horizontal="center" vertical="center" wrapText="true"/>
    </xf>
    <xf numFmtId="184" fontId="23" fillId="0" borderId="2" xfId="0" applyNumberFormat="true" applyFont="true" applyFill="true" applyBorder="true" applyAlignment="true">
      <alignment horizontal="center" vertical="center" wrapText="true"/>
    </xf>
    <xf numFmtId="0" fontId="23" fillId="9" borderId="2" xfId="0" applyFont="true" applyFill="true" applyBorder="true" applyAlignment="true">
      <alignment horizontal="center" vertical="center" wrapText="true"/>
    </xf>
    <xf numFmtId="183" fontId="23" fillId="0" borderId="2" xfId="102" applyNumberFormat="true" applyFont="true" applyFill="true" applyBorder="true" applyAlignment="true">
      <alignment horizontal="left" vertical="center" wrapText="true"/>
    </xf>
    <xf numFmtId="183" fontId="23" fillId="0" borderId="2" xfId="72" applyNumberFormat="true" applyFont="true" applyFill="true" applyBorder="true" applyAlignment="true">
      <alignment horizontal="center" vertical="center" wrapText="true"/>
    </xf>
    <xf numFmtId="184" fontId="23" fillId="0" borderId="2" xfId="72" applyNumberFormat="true" applyFont="true" applyFill="true" applyBorder="true" applyAlignment="true">
      <alignment horizontal="center" vertical="center" wrapText="true"/>
    </xf>
    <xf numFmtId="183" fontId="23" fillId="9" borderId="2" xfId="11" applyNumberFormat="true" applyFont="true" applyFill="true" applyBorder="true" applyAlignment="true">
      <alignment horizontal="center" vertical="center" wrapText="true"/>
    </xf>
    <xf numFmtId="178" fontId="23" fillId="0" borderId="2" xfId="72" applyNumberFormat="true" applyFont="true" applyFill="true" applyBorder="true" applyAlignment="true">
      <alignment vertical="center" wrapText="true"/>
    </xf>
    <xf numFmtId="183" fontId="0" fillId="0" borderId="2" xfId="102" applyNumberFormat="true" applyFont="true" applyFill="true" applyBorder="true" applyAlignment="true">
      <alignment horizontal="left" vertical="center" wrapText="true"/>
    </xf>
    <xf numFmtId="184" fontId="0" fillId="0" borderId="2" xfId="72" applyNumberFormat="true" applyFont="true" applyFill="true" applyBorder="true" applyAlignment="true">
      <alignment horizontal="center" vertical="center" wrapText="true"/>
    </xf>
    <xf numFmtId="183" fontId="0" fillId="9" borderId="2" xfId="72" applyNumberFormat="true" applyFont="true" applyFill="true" applyBorder="true" applyAlignment="true">
      <alignment horizontal="center" vertical="center" wrapText="true"/>
    </xf>
    <xf numFmtId="184" fontId="23" fillId="9" borderId="2" xfId="72" applyNumberFormat="true" applyFont="true" applyFill="true" applyBorder="true" applyAlignment="true">
      <alignment horizontal="right" vertical="center" wrapText="true"/>
    </xf>
    <xf numFmtId="184" fontId="0" fillId="9" borderId="2" xfId="72" applyNumberFormat="true" applyFont="true" applyFill="true" applyBorder="true" applyAlignment="true">
      <alignment horizontal="center" vertical="center" wrapText="true"/>
    </xf>
    <xf numFmtId="184" fontId="23" fillId="0" borderId="2" xfId="72" applyNumberFormat="true" applyFont="true" applyFill="true" applyBorder="true" applyAlignment="true" applyProtection="true">
      <alignment horizontal="left" vertical="center"/>
      <protection locked="false"/>
    </xf>
    <xf numFmtId="183" fontId="0" fillId="9" borderId="2" xfId="11" applyNumberFormat="true" applyFont="true" applyFill="true" applyBorder="true" applyAlignment="true">
      <alignment horizontal="center" vertical="center" wrapText="true"/>
    </xf>
    <xf numFmtId="184" fontId="23" fillId="0" borderId="2" xfId="72" applyNumberFormat="true" applyFont="true" applyFill="true" applyBorder="true" applyAlignment="true" applyProtection="true">
      <alignment vertical="center"/>
      <protection locked="false"/>
    </xf>
    <xf numFmtId="183" fontId="23" fillId="9" borderId="2" xfId="72" applyNumberFormat="true" applyFont="true" applyFill="true" applyBorder="true" applyAlignment="true">
      <alignment horizontal="center" vertical="center" wrapText="true"/>
    </xf>
    <xf numFmtId="0" fontId="0" fillId="9" borderId="2" xfId="0" applyFont="true" applyFill="true" applyBorder="true" applyAlignment="true">
      <alignment vertical="center" wrapText="true"/>
    </xf>
    <xf numFmtId="184" fontId="0" fillId="0" borderId="2" xfId="0" applyNumberFormat="true" applyFont="true" applyFill="true" applyBorder="true" applyAlignment="true">
      <alignment vertical="center" wrapText="true"/>
    </xf>
    <xf numFmtId="183" fontId="23" fillId="0" borderId="2" xfId="75" applyNumberFormat="true" applyFont="true" applyFill="true" applyBorder="true" applyAlignment="true">
      <alignment horizontal="center" vertical="center" wrapText="true"/>
    </xf>
    <xf numFmtId="183" fontId="23" fillId="0" borderId="2" xfId="11" applyNumberFormat="true" applyFont="true" applyFill="true" applyBorder="true" applyAlignment="true">
      <alignment horizontal="center" vertical="center" wrapText="true"/>
    </xf>
    <xf numFmtId="184" fontId="23" fillId="9" borderId="2" xfId="72" applyNumberFormat="true" applyFont="true" applyFill="true" applyBorder="true" applyAlignment="true">
      <alignment horizontal="center" vertical="center" wrapText="true"/>
    </xf>
    <xf numFmtId="3" fontId="62" fillId="9" borderId="2" xfId="0" applyNumberFormat="true" applyFont="true" applyFill="true" applyBorder="true" applyAlignment="true" applyProtection="true">
      <alignment horizontal="right" vertical="center"/>
    </xf>
    <xf numFmtId="3" fontId="0" fillId="0" borderId="2" xfId="98" applyNumberFormat="true" applyFont="true" applyFill="true" applyBorder="true" applyAlignment="true" applyProtection="true">
      <alignment horizontal="right" vertical="center"/>
    </xf>
    <xf numFmtId="0" fontId="63" fillId="0" borderId="2" xfId="0" applyFont="true" applyFill="true" applyBorder="true" applyAlignment="true">
      <alignment vertical="center"/>
    </xf>
    <xf numFmtId="183" fontId="0" fillId="0" borderId="2" xfId="106" applyNumberFormat="true" applyFont="true" applyFill="true" applyBorder="true" applyAlignment="true">
      <alignment horizontal="center" vertical="center" wrapText="true"/>
    </xf>
    <xf numFmtId="0" fontId="0" fillId="0" borderId="2" xfId="0" applyFont="true" applyFill="true" applyBorder="true" applyAlignment="true" applyProtection="true">
      <alignment vertical="center"/>
      <protection locked="false"/>
    </xf>
    <xf numFmtId="183" fontId="0" fillId="0" borderId="2" xfId="84" applyNumberFormat="true" applyFont="true" applyFill="true" applyBorder="true" applyAlignment="true">
      <alignment horizontal="center" vertical="center" wrapText="true"/>
    </xf>
    <xf numFmtId="183" fontId="0" fillId="0" borderId="2" xfId="95" applyNumberFormat="true" applyFont="true" applyFill="true" applyBorder="true" applyAlignment="true">
      <alignment horizontal="center" vertical="center" wrapText="true"/>
    </xf>
    <xf numFmtId="183" fontId="0" fillId="0" borderId="2" xfId="90" applyNumberFormat="true" applyFont="true" applyFill="true" applyBorder="true" applyAlignment="true">
      <alignment horizontal="center" vertical="center" wrapText="true"/>
    </xf>
    <xf numFmtId="183" fontId="0" fillId="0" borderId="2" xfId="75" applyNumberFormat="true" applyFont="true" applyFill="true" applyBorder="true" applyAlignment="true">
      <alignment horizontal="center" vertical="center" wrapText="true"/>
    </xf>
    <xf numFmtId="183" fontId="23" fillId="0" borderId="2" xfId="77" applyNumberFormat="true" applyFont="true" applyFill="true" applyBorder="true" applyAlignment="true">
      <alignment horizontal="center" vertical="center" wrapText="true"/>
    </xf>
    <xf numFmtId="0" fontId="0" fillId="0" borderId="2" xfId="0" applyFont="true" applyFill="true" applyBorder="true" applyAlignment="true">
      <alignment vertical="center" wrapText="true"/>
    </xf>
    <xf numFmtId="0" fontId="0" fillId="0" borderId="0" xfId="0" applyFont="true" applyFill="true" applyBorder="true" applyAlignment="true">
      <alignment horizontal="right" vertical="center" wrapText="true"/>
    </xf>
    <xf numFmtId="0" fontId="23" fillId="0" borderId="15" xfId="0" applyFont="true" applyFill="true" applyBorder="true" applyAlignment="true">
      <alignment horizontal="center" vertical="center" wrapText="true"/>
    </xf>
    <xf numFmtId="0" fontId="23" fillId="0" borderId="17" xfId="0" applyFont="true" applyFill="true" applyBorder="true" applyAlignment="true">
      <alignment horizontal="center" vertical="center" wrapText="true"/>
    </xf>
    <xf numFmtId="0" fontId="23" fillId="0" borderId="2" xfId="0" applyFont="true" applyFill="true" applyBorder="true" applyAlignment="true">
      <alignment vertical="center" wrapText="true"/>
    </xf>
    <xf numFmtId="183" fontId="23" fillId="9" borderId="2" xfId="102" applyNumberFormat="true" applyFont="true" applyFill="true" applyBorder="true" applyAlignment="true">
      <alignment horizontal="center" vertical="center" wrapText="true"/>
    </xf>
    <xf numFmtId="183" fontId="0" fillId="9" borderId="2" xfId="102" applyNumberFormat="true" applyFont="true" applyFill="true" applyBorder="true" applyAlignment="true">
      <alignment horizontal="center" vertical="center" wrapText="true"/>
    </xf>
    <xf numFmtId="183" fontId="0" fillId="0" borderId="2" xfId="72" applyNumberFormat="true" applyFont="true" applyFill="true" applyBorder="true" applyAlignment="true" applyProtection="true">
      <alignment horizontal="center" vertical="center" wrapText="true"/>
      <protection locked="false"/>
    </xf>
    <xf numFmtId="183" fontId="23" fillId="0" borderId="2" xfId="72" applyNumberFormat="true" applyFont="true" applyFill="true" applyBorder="true" applyAlignment="true" applyProtection="true">
      <alignment horizontal="center" vertical="center" wrapText="true"/>
      <protection locked="false"/>
    </xf>
    <xf numFmtId="0" fontId="23" fillId="9" borderId="2" xfId="0" applyFont="true" applyFill="true" applyBorder="true" applyAlignment="true">
      <alignment vertical="center" wrapText="true"/>
    </xf>
    <xf numFmtId="183" fontId="23" fillId="9" borderId="2" xfId="60" applyNumberFormat="true" applyFont="true" applyFill="true" applyBorder="true" applyAlignment="true">
      <alignment horizontal="center" vertical="center" wrapText="true"/>
    </xf>
    <xf numFmtId="183" fontId="23" fillId="0" borderId="2" xfId="60" applyNumberFormat="true" applyFont="true" applyFill="true" applyBorder="true" applyAlignment="true">
      <alignment horizontal="center" vertical="center" wrapText="true"/>
    </xf>
    <xf numFmtId="0" fontId="58" fillId="9" borderId="2" xfId="93" applyFont="true" applyFill="true" applyBorder="true" applyAlignment="true">
      <alignment horizontal="center" vertical="center"/>
    </xf>
    <xf numFmtId="183" fontId="23" fillId="9" borderId="2" xfId="97" applyNumberFormat="true" applyFont="true" applyFill="true" applyBorder="true" applyAlignment="true">
      <alignment horizontal="center" vertical="center" wrapText="true"/>
    </xf>
    <xf numFmtId="183" fontId="23" fillId="0" borderId="2" xfId="51" applyNumberFormat="true" applyFont="true" applyFill="true" applyBorder="true" applyAlignment="true">
      <alignment horizontal="center" vertical="center" wrapText="true"/>
    </xf>
    <xf numFmtId="183" fontId="23" fillId="0" borderId="2" xfId="94" applyNumberFormat="true" applyFont="true" applyFill="true" applyBorder="true" applyAlignment="true">
      <alignment horizontal="center" vertical="center" wrapText="true"/>
    </xf>
    <xf numFmtId="183" fontId="0" fillId="9" borderId="2" xfId="97" applyNumberFormat="true" applyFont="true" applyFill="true" applyBorder="true" applyAlignment="true">
      <alignment horizontal="center" vertical="center" wrapText="true"/>
    </xf>
    <xf numFmtId="183" fontId="0" fillId="0" borderId="2" xfId="94" applyNumberFormat="true" applyFont="true" applyFill="true" applyBorder="true" applyAlignment="true">
      <alignment horizontal="center" vertical="center" wrapText="true"/>
    </xf>
    <xf numFmtId="183" fontId="0" fillId="9" borderId="2" xfId="97" applyNumberFormat="true" applyFont="true" applyFill="true" applyBorder="true" applyAlignment="true" applyProtection="true">
      <alignment horizontal="center" vertical="center" wrapText="true"/>
      <protection locked="false"/>
    </xf>
    <xf numFmtId="183" fontId="0" fillId="9" borderId="2" xfId="72" applyNumberFormat="true" applyFont="true" applyFill="true" applyBorder="true" applyAlignment="true">
      <alignment vertical="center" wrapText="true"/>
    </xf>
    <xf numFmtId="184" fontId="0" fillId="9" borderId="2" xfId="0" applyNumberFormat="true" applyFont="true" applyFill="true" applyBorder="true" applyAlignment="true">
      <alignment vertical="center" wrapText="true"/>
    </xf>
    <xf numFmtId="183" fontId="23" fillId="0" borderId="2" xfId="102" applyNumberFormat="true" applyFont="true" applyFill="true" applyBorder="true" applyAlignment="true">
      <alignment horizontal="center" vertical="center" wrapText="true"/>
    </xf>
    <xf numFmtId="178" fontId="0" fillId="0" borderId="2" xfId="0" applyNumberFormat="true" applyFont="true" applyFill="true" applyBorder="true" applyAlignment="true">
      <alignment vertical="center" wrapText="true"/>
    </xf>
    <xf numFmtId="0" fontId="0" fillId="0" borderId="0" xfId="93" applyFont="true" applyFill="true" applyAlignment="true">
      <alignment vertical="center" wrapText="true"/>
    </xf>
    <xf numFmtId="0" fontId="30" fillId="0" borderId="0" xfId="93" applyFont="true" applyFill="true" applyAlignment="true">
      <alignment vertical="center" wrapText="true"/>
    </xf>
    <xf numFmtId="0" fontId="23" fillId="0" borderId="0" xfId="93" applyFont="true" applyFill="true" applyAlignment="true">
      <alignment vertical="center" wrapText="true"/>
    </xf>
    <xf numFmtId="184" fontId="0" fillId="0" borderId="0" xfId="93" applyNumberFormat="true" applyFont="true" applyFill="true" applyAlignment="true">
      <alignment vertical="center" wrapText="true"/>
    </xf>
    <xf numFmtId="0" fontId="36" fillId="0" borderId="0" xfId="93" applyFont="true" applyFill="true" applyAlignment="true">
      <alignment horizontal="center" vertical="center" wrapText="true"/>
    </xf>
    <xf numFmtId="0" fontId="23" fillId="0" borderId="6" xfId="93" applyFont="true" applyFill="true" applyBorder="true" applyAlignment="true">
      <alignment horizontal="center" vertical="center" wrapText="true"/>
    </xf>
    <xf numFmtId="0" fontId="23" fillId="0" borderId="16" xfId="9" applyFont="true" applyFill="true" applyBorder="true" applyAlignment="true">
      <alignment horizontal="center" vertical="center" wrapText="true"/>
    </xf>
    <xf numFmtId="0" fontId="23" fillId="0" borderId="12" xfId="93" applyFont="true" applyFill="true" applyBorder="true" applyAlignment="true">
      <alignment horizontal="center" vertical="center" wrapText="true"/>
    </xf>
    <xf numFmtId="0" fontId="23" fillId="0" borderId="2" xfId="93" applyFont="true" applyFill="true" applyBorder="true" applyAlignment="true">
      <alignment horizontal="center" vertical="center" wrapText="true"/>
    </xf>
    <xf numFmtId="0" fontId="23" fillId="0" borderId="2" xfId="93" applyFont="true" applyFill="true" applyBorder="true" applyAlignment="true">
      <alignment vertical="center" wrapText="true"/>
    </xf>
    <xf numFmtId="10" fontId="23" fillId="0" borderId="2" xfId="72" applyNumberFormat="true" applyFont="true" applyFill="true" applyBorder="true" applyAlignment="true">
      <alignment horizontal="center" vertical="center" wrapText="true"/>
    </xf>
    <xf numFmtId="0" fontId="0" fillId="0" borderId="2" xfId="93" applyFont="true" applyFill="true" applyBorder="true" applyAlignment="true">
      <alignment vertical="center" wrapText="true"/>
    </xf>
    <xf numFmtId="10" fontId="0" fillId="0" borderId="2" xfId="72" applyNumberFormat="true" applyFont="true" applyFill="true" applyBorder="true" applyAlignment="true">
      <alignment horizontal="center" vertical="center" wrapText="true"/>
    </xf>
    <xf numFmtId="185" fontId="23" fillId="0" borderId="2" xfId="72" applyNumberFormat="true" applyFont="true" applyFill="true" applyBorder="true" applyAlignment="true">
      <alignment horizontal="center" vertical="center" wrapText="true"/>
    </xf>
    <xf numFmtId="0" fontId="0" fillId="0" borderId="0" xfId="93" applyFont="true" applyFill="true" applyAlignment="true">
      <alignment horizontal="justify" vertical="center" wrapText="true"/>
    </xf>
    <xf numFmtId="0" fontId="23" fillId="0" borderId="16" xfId="93" applyFont="true" applyFill="true" applyBorder="true" applyAlignment="true">
      <alignment horizontal="center" vertical="center"/>
    </xf>
    <xf numFmtId="0" fontId="23" fillId="9" borderId="2" xfId="9" applyFont="true" applyFill="true" applyBorder="true" applyAlignment="true">
      <alignment horizontal="center" vertical="center" wrapText="true"/>
    </xf>
    <xf numFmtId="183" fontId="23" fillId="0" borderId="12" xfId="72" applyNumberFormat="true" applyFont="true" applyFill="true" applyBorder="true" applyAlignment="true">
      <alignment horizontal="center" vertical="center" wrapText="true"/>
    </xf>
    <xf numFmtId="183" fontId="23" fillId="0" borderId="2" xfId="53" applyNumberFormat="true" applyFont="true" applyFill="true" applyBorder="true" applyAlignment="true">
      <alignment horizontal="center" vertical="center" wrapText="true"/>
    </xf>
    <xf numFmtId="183" fontId="23" fillId="0" borderId="2" xfId="21" applyNumberFormat="true" applyFont="true" applyFill="true" applyBorder="true" applyAlignment="true">
      <alignment horizontal="center" vertical="center" wrapText="true"/>
    </xf>
    <xf numFmtId="183" fontId="0" fillId="0" borderId="2" xfId="21" applyNumberFormat="true" applyFont="true" applyFill="true" applyBorder="true" applyAlignment="true">
      <alignment horizontal="center" vertical="center" wrapText="true"/>
    </xf>
    <xf numFmtId="176" fontId="64" fillId="0" borderId="2" xfId="52" applyNumberFormat="true" applyFont="true" applyFill="true" applyBorder="true" applyAlignment="true">
      <alignment vertical="center" wrapText="true"/>
    </xf>
    <xf numFmtId="183" fontId="23" fillId="0" borderId="2" xfId="53" applyNumberFormat="true" applyFont="true" applyFill="true" applyBorder="true" applyAlignment="true" applyProtection="true">
      <alignment vertical="center"/>
    </xf>
    <xf numFmtId="183" fontId="23" fillId="0" borderId="2" xfId="21" applyNumberFormat="true" applyFont="true" applyFill="true" applyBorder="true" applyAlignment="true" applyProtection="true">
      <alignment vertical="center"/>
    </xf>
    <xf numFmtId="183" fontId="0" fillId="9" borderId="2" xfId="59" applyNumberFormat="true" applyFont="true" applyFill="true" applyBorder="true" applyAlignment="true">
      <alignment horizontal="center" vertical="center" wrapText="true"/>
    </xf>
    <xf numFmtId="0" fontId="0" fillId="0" borderId="0" xfId="93" applyFont="true" applyFill="true" applyBorder="true" applyAlignment="true">
      <alignment vertical="center" wrapText="true"/>
    </xf>
    <xf numFmtId="0" fontId="23" fillId="0" borderId="2" xfId="93" applyFont="true" applyFill="true" applyBorder="true" applyAlignment="true">
      <alignment horizontal="center" vertical="center"/>
    </xf>
    <xf numFmtId="43" fontId="23" fillId="0" borderId="2" xfId="72" applyFont="true" applyFill="true" applyBorder="true" applyAlignment="true">
      <alignment horizontal="center" vertical="center" wrapText="true"/>
    </xf>
    <xf numFmtId="183" fontId="23" fillId="0" borderId="6" xfId="21" applyNumberFormat="true" applyFont="true" applyFill="true" applyBorder="true" applyAlignment="true">
      <alignment horizontal="center" vertical="center" wrapText="true"/>
    </xf>
    <xf numFmtId="0" fontId="0" fillId="0" borderId="12" xfId="0" applyFont="true" applyFill="true" applyBorder="true" applyAlignment="true">
      <alignment vertical="center"/>
    </xf>
    <xf numFmtId="183" fontId="0" fillId="0" borderId="2" xfId="47" applyNumberFormat="true" applyFont="true" applyFill="true" applyBorder="true" applyAlignment="true">
      <alignment vertical="center"/>
    </xf>
    <xf numFmtId="0" fontId="65" fillId="0" borderId="2" xfId="0" applyFont="true" applyFill="true" applyBorder="true" applyAlignment="true">
      <alignment vertical="center"/>
    </xf>
    <xf numFmtId="0" fontId="0" fillId="0" borderId="17" xfId="0" applyFont="true" applyFill="true" applyBorder="true" applyAlignment="true">
      <alignment vertical="center"/>
    </xf>
    <xf numFmtId="178" fontId="0" fillId="0" borderId="17" xfId="0" applyNumberFormat="true" applyFont="true" applyFill="true" applyBorder="true" applyAlignment="true" applyProtection="true">
      <alignment vertical="center"/>
      <protection locked="false"/>
    </xf>
    <xf numFmtId="0" fontId="0" fillId="0" borderId="17" xfId="0" applyFont="true" applyFill="true" applyBorder="true" applyAlignment="true">
      <alignment horizontal="left" vertical="center"/>
    </xf>
    <xf numFmtId="183" fontId="23" fillId="0" borderId="9" xfId="21" applyNumberFormat="true" applyFont="true" applyFill="true" applyBorder="true" applyAlignment="true" applyProtection="true">
      <alignment vertical="center"/>
    </xf>
    <xf numFmtId="178" fontId="0" fillId="0" borderId="2" xfId="0" applyNumberFormat="true" applyFont="true" applyFill="true" applyBorder="true" applyAlignment="true" applyProtection="true">
      <alignment vertical="center"/>
      <protection locked="false"/>
    </xf>
    <xf numFmtId="0" fontId="0" fillId="0" borderId="17" xfId="17" applyNumberFormat="true" applyFont="true" applyFill="true" applyBorder="true" applyAlignment="true" applyProtection="true">
      <alignment vertical="center" wrapText="true"/>
    </xf>
    <xf numFmtId="183" fontId="0" fillId="0" borderId="12" xfId="72" applyNumberFormat="true" applyFont="true" applyFill="true" applyBorder="true" applyAlignment="true">
      <alignment horizontal="center" vertical="center" wrapText="true"/>
    </xf>
    <xf numFmtId="0" fontId="0" fillId="0" borderId="17" xfId="93" applyFont="true" applyFill="true" applyBorder="true" applyAlignment="true">
      <alignment vertical="center" wrapText="true"/>
    </xf>
    <xf numFmtId="183" fontId="23" fillId="0" borderId="12" xfId="21" applyNumberFormat="true" applyFont="true" applyFill="true" applyBorder="true" applyAlignment="true">
      <alignment horizontal="center" vertical="center" wrapText="true"/>
    </xf>
    <xf numFmtId="184" fontId="36" fillId="0" borderId="0" xfId="93" applyNumberFormat="true" applyFont="true" applyFill="true" applyAlignment="true">
      <alignment horizontal="center" vertical="center" wrapText="true"/>
    </xf>
    <xf numFmtId="0" fontId="0" fillId="0" borderId="0" xfId="93" applyFont="true" applyFill="true" applyBorder="true" applyAlignment="true">
      <alignment horizontal="center" vertical="center" wrapText="true"/>
    </xf>
    <xf numFmtId="184" fontId="0" fillId="0" borderId="0" xfId="93" applyNumberFormat="true" applyFont="true" applyFill="true" applyBorder="true" applyAlignment="true">
      <alignment horizontal="center" vertical="center" wrapText="true"/>
    </xf>
    <xf numFmtId="43" fontId="23" fillId="0" borderId="2" xfId="72" applyFont="true" applyFill="true" applyBorder="true" applyAlignment="true" applyProtection="true">
      <alignment horizontal="center" vertical="center" wrapText="true"/>
    </xf>
    <xf numFmtId="183" fontId="0" fillId="0" borderId="12" xfId="42" applyNumberFormat="true" applyFont="true" applyFill="true" applyBorder="true" applyAlignment="true">
      <alignment horizontal="center" vertical="center" wrapText="true"/>
    </xf>
    <xf numFmtId="183" fontId="0" fillId="9" borderId="12" xfId="42" applyNumberFormat="true" applyFont="true" applyFill="true" applyBorder="true" applyAlignment="true">
      <alignment horizontal="center" vertical="center" wrapText="true"/>
    </xf>
    <xf numFmtId="183" fontId="0" fillId="0" borderId="2" xfId="42" applyNumberFormat="true" applyFont="true" applyFill="true" applyBorder="true" applyAlignment="true">
      <alignment horizontal="center" vertical="center" wrapText="true"/>
    </xf>
    <xf numFmtId="183" fontId="0" fillId="9" borderId="2" xfId="42" applyNumberFormat="true" applyFont="true" applyFill="true" applyBorder="true" applyAlignment="true">
      <alignment horizontal="center" vertical="center" wrapText="true"/>
    </xf>
    <xf numFmtId="0" fontId="0" fillId="9" borderId="2" xfId="93" applyFont="true" applyFill="true" applyBorder="true" applyAlignment="true">
      <alignment vertical="center" wrapText="true"/>
    </xf>
    <xf numFmtId="0" fontId="23" fillId="9" borderId="15" xfId="93" applyFont="true" applyFill="true" applyBorder="true" applyAlignment="true">
      <alignment horizontal="center" vertical="center"/>
    </xf>
    <xf numFmtId="183" fontId="0" fillId="9" borderId="2" xfId="64" applyNumberFormat="true" applyFont="true" applyFill="true" applyBorder="true" applyAlignment="true">
      <alignment vertical="center"/>
    </xf>
    <xf numFmtId="183" fontId="0" fillId="0" borderId="2" xfId="64" applyNumberFormat="true" applyFont="true" applyFill="true" applyBorder="true" applyAlignment="true">
      <alignment vertical="center"/>
    </xf>
    <xf numFmtId="183" fontId="0" fillId="9" borderId="12" xfId="72" applyNumberFormat="true" applyFont="true" applyFill="true" applyBorder="true" applyAlignment="true">
      <alignment horizontal="center" vertical="center" wrapText="true"/>
    </xf>
    <xf numFmtId="183" fontId="0" fillId="0" borderId="2" xfId="64" applyNumberFormat="true" applyFont="true" applyFill="true" applyBorder="true" applyAlignment="true">
      <alignment horizontal="center" vertical="center"/>
    </xf>
    <xf numFmtId="183" fontId="0" fillId="0" borderId="2" xfId="19" applyNumberFormat="true" applyFont="true" applyFill="true" applyBorder="true" applyAlignment="true">
      <alignment horizontal="center" vertical="center" wrapText="true"/>
    </xf>
    <xf numFmtId="184" fontId="23" fillId="0" borderId="0" xfId="93" applyNumberFormat="true" applyFont="true" applyFill="true" applyAlignment="true">
      <alignment vertical="center" wrapText="true"/>
    </xf>
    <xf numFmtId="0" fontId="66" fillId="0" borderId="0" xfId="0" applyFont="true" applyFill="true" applyBorder="true" applyAlignment="true">
      <alignment horizontal="center" vertical="center" wrapText="true"/>
    </xf>
    <xf numFmtId="0" fontId="67" fillId="0" borderId="0" xfId="0" applyFont="true" applyFill="true" applyBorder="true" applyAlignment="true">
      <alignment horizontal="center"/>
    </xf>
  </cellXfs>
  <cellStyles count="108">
    <cellStyle name="常规" xfId="0" builtinId="0"/>
    <cellStyle name="常规_(上年同期数－人大）宁夏财政（2014年）表_2016年预算 报财经委1.3(1)" xfId="1"/>
    <cellStyle name="千位分隔_表9_4" xfId="2"/>
    <cellStyle name="千位分隔_表1-2_1" xfId="3"/>
    <cellStyle name="千位分隔_表1-2_6" xfId="4"/>
    <cellStyle name="千位分隔_表3_5" xfId="5"/>
    <cellStyle name="常规 3" xfId="6"/>
    <cellStyle name="千位分隔_表1-2_3" xfId="7"/>
    <cellStyle name="千位分隔_表9_6" xfId="8"/>
    <cellStyle name="常规_2015市本级预算总表.人大稿" xfId="9"/>
    <cellStyle name="千位分隔_表1-2_10" xfId="10"/>
    <cellStyle name="千位分隔_表6-2" xfId="11"/>
    <cellStyle name="千位分隔_表9_5" xfId="12"/>
    <cellStyle name="千位分隔_表1-2_2" xfId="13"/>
    <cellStyle name="常规_表1-3_4" xfId="14"/>
    <cellStyle name="千位分隔_表4_22" xfId="15"/>
    <cellStyle name="千位分隔_表4_17" xfId="16"/>
    <cellStyle name="常规_录入表" xfId="17"/>
    <cellStyle name="千位分隔_表4" xfId="18"/>
    <cellStyle name="千位分隔_表6-1_7" xfId="19"/>
    <cellStyle name="常规_Book1_2015年公共预算" xfId="20"/>
    <cellStyle name="千位分隔_表6-1_4" xfId="21"/>
    <cellStyle name="千位分隔_表4_3" xfId="22"/>
    <cellStyle name="千位分隔_表4_18" xfId="23"/>
    <cellStyle name="常规 3 2" xfId="24"/>
    <cellStyle name="常规 4" xfId="25"/>
    <cellStyle name="强调文字颜色 3" xfId="26" builtinId="37"/>
    <cellStyle name="40% - 强调文字颜色 2" xfId="27" builtinId="35"/>
    <cellStyle name="60% - 强调文字颜色 2" xfId="28" builtinId="36"/>
    <cellStyle name="常规 2" xfId="29"/>
    <cellStyle name="40% - 强调文字颜色 1" xfId="30" builtinId="31"/>
    <cellStyle name="强调文字颜色 2" xfId="31" builtinId="33"/>
    <cellStyle name="适中" xfId="32" builtinId="28"/>
    <cellStyle name="强调文字颜色 1" xfId="33" builtinId="29"/>
    <cellStyle name="标题 4" xfId="34" builtinId="19"/>
    <cellStyle name="好" xfId="35" builtinId="26"/>
    <cellStyle name="标题" xfId="36" builtinId="15"/>
    <cellStyle name="常规 10" xfId="37"/>
    <cellStyle name="60% - 强调文字颜色 3" xfId="38" builtinId="40"/>
    <cellStyle name="千位分隔_表4_8" xfId="39"/>
    <cellStyle name="60% - 强调文字颜色 1" xfId="40" builtinId="32"/>
    <cellStyle name="链接单元格" xfId="41" builtinId="24"/>
    <cellStyle name="千位分隔_表6-2_1" xfId="42"/>
    <cellStyle name="千位分隔_表6-1_9" xfId="43"/>
    <cellStyle name="百分比 2" xfId="44"/>
    <cellStyle name="40% - 强调文字颜色 3" xfId="45" builtinId="39"/>
    <cellStyle name="强调文字颜色 4" xfId="46" builtinId="41"/>
    <cellStyle name="千位分隔[0]" xfId="47" builtinId="6"/>
    <cellStyle name="已访问的超链接" xfId="48" builtinId="9"/>
    <cellStyle name="千位分隔_表4_6" xfId="49"/>
    <cellStyle name="千位分隔_表4_19" xfId="50"/>
    <cellStyle name="千位分隔_表6-2_8" xfId="51"/>
    <cellStyle name="常规_2015年预算 12.25报财经委" xfId="52"/>
    <cellStyle name="千位分隔_表6-1_3" xfId="53"/>
    <cellStyle name="差" xfId="54" builtinId="27"/>
    <cellStyle name="货币" xfId="55" builtinId="4"/>
    <cellStyle name="20% - 强调文字颜色 3" xfId="56" builtinId="38"/>
    <cellStyle name="60% - 强调文字颜色 6" xfId="57" builtinId="52"/>
    <cellStyle name="超链接" xfId="58" builtinId="8"/>
    <cellStyle name="千位分隔_表6-1_2" xfId="59"/>
    <cellStyle name="千位分隔_表6-3_10" xfId="60"/>
    <cellStyle name="标题 1" xfId="61" builtinId="16"/>
    <cellStyle name="输入" xfId="62" builtinId="20"/>
    <cellStyle name="60% - 强调文字颜色 5" xfId="63" builtinId="48"/>
    <cellStyle name="千位分隔_表1" xfId="64"/>
    <cellStyle name="常规 5" xfId="65"/>
    <cellStyle name="20% - 强调文字颜色 2" xfId="66" builtinId="34"/>
    <cellStyle name="Normal" xfId="67"/>
    <cellStyle name="警告文本" xfId="68" builtinId="11"/>
    <cellStyle name="注释" xfId="69" builtinId="10"/>
    <cellStyle name="60% - 强调文字颜色 4" xfId="70" builtinId="44"/>
    <cellStyle name="标题 2" xfId="71" builtinId="17"/>
    <cellStyle name="千位分隔" xfId="72" builtinId="3"/>
    <cellStyle name="20% - 强调文字颜色 1" xfId="73" builtinId="30"/>
    <cellStyle name="百分比" xfId="74" builtinId="5"/>
    <cellStyle name="千位分隔_表6-2_5" xfId="75"/>
    <cellStyle name="汇总" xfId="76" builtinId="25"/>
    <cellStyle name="千位分隔_表6-2_7" xfId="77"/>
    <cellStyle name="解释性文本" xfId="78" builtinId="53"/>
    <cellStyle name="标题 3" xfId="79" builtinId="18"/>
    <cellStyle name="输出" xfId="80" builtinId="21"/>
    <cellStyle name="40% - 强调文字颜色 4" xfId="81" builtinId="43"/>
    <cellStyle name="强调文字颜色 5" xfId="82" builtinId="45"/>
    <cellStyle name="常规 2 2" xfId="83"/>
    <cellStyle name="千位分隔_表1-4_6" xfId="84"/>
    <cellStyle name="20% - 强调文字颜色 5" xfId="85" builtinId="46"/>
    <cellStyle name="货币[0]" xfId="86" builtinId="7"/>
    <cellStyle name="40% - 强调文字颜色 5" xfId="87" builtinId="47"/>
    <cellStyle name="强调文字颜色 6" xfId="88" builtinId="49"/>
    <cellStyle name="常规_表4" xfId="89"/>
    <cellStyle name="千位分隔_表1-4_7" xfId="90"/>
    <cellStyle name="20% - 强调文字颜色 6" xfId="91" builtinId="50"/>
    <cellStyle name="40% - 强调文字颜色 6" xfId="92" builtinId="51"/>
    <cellStyle name="常规_全市2009年和2010年全市财政收支汇总表" xfId="93"/>
    <cellStyle name="千位分隔_表6-2_6" xfId="94"/>
    <cellStyle name="千位分隔_表1-3_17" xfId="95"/>
    <cellStyle name="千位分隔_表8_1" xfId="96"/>
    <cellStyle name="千位分隔_表6-2_4" xfId="97"/>
    <cellStyle name="常规 4 2" xfId="98"/>
    <cellStyle name="千位分隔_表9_3" xfId="99"/>
    <cellStyle name="千位分隔_表8" xfId="100"/>
    <cellStyle name="检查单元格" xfId="101" builtinId="23"/>
    <cellStyle name="千位分隔_表6-2_2" xfId="102"/>
    <cellStyle name="计算" xfId="103" builtinId="22"/>
    <cellStyle name="千位分隔_表9_14" xfId="104"/>
    <cellStyle name="20% - 强调文字颜色 4" xfId="105" builtinId="42"/>
    <cellStyle name="千位分隔_表1-4_5" xfId="106"/>
    <cellStyle name="千位分隔_表9" xfId="107"/>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FFFFFF"/>
      <rgbColor rgb="00800080"/>
      <rgbColor rgb="000000FF"/>
      <rgbColor rgb="00C0C0C0"/>
      <rgbColor rgb="0000FF00"/>
      <rgbColor rgb="009999FF"/>
      <rgbColor rgb="00FF0000"/>
      <rgbColor rgb="00FFFFCC"/>
      <rgbColor rgb="0000FFFF"/>
      <rgbColor rgb="00660066"/>
      <rgbColor rgb="00FF00FF"/>
      <rgbColor rgb="000066CC"/>
      <rgbColor rgb="00FFFF00"/>
      <rgbColor rgb="00000080"/>
      <rgbColor rgb="00000080"/>
      <rgbColor rgb="00FFFF00"/>
      <rgbColor rgb="00008000"/>
      <rgbColor rgb="00800080"/>
      <rgbColor rgb="00800000"/>
      <rgbColor rgb="00008080"/>
      <rgbColor rgb="00008080"/>
      <rgbColor rgb="0000CCFF"/>
      <rgbColor rgb="00800080"/>
      <rgbColor rgb="00CCFFCC"/>
      <rgbColor rgb="00808000"/>
      <rgbColor rgb="0099CCFF"/>
      <rgbColor rgb="00C0C0C0"/>
      <rgbColor rgb="00CC99FF"/>
      <rgbColor rgb="00808080"/>
      <rgbColor rgb="003366FF"/>
      <rgbColor rgb="00FF9999"/>
      <rgbColor rgb="0099CC00"/>
      <rgbColor rgb="00663399"/>
      <rgbColor rgb="00FF9900"/>
      <rgbColor rgb="00CCFFFF"/>
      <rgbColor rgb="00666699"/>
      <rgbColor rgb="00FFFFCC"/>
      <rgbColor rgb="00003366"/>
      <rgbColor rgb="00660066"/>
      <rgbColor rgb="00003300"/>
      <rgbColor rgb="008080FF"/>
      <rgbColor rgb="00993300"/>
      <rgbColor rgb="00CC6600"/>
      <rgbColor rgb="00333399"/>
      <rgbColor rgb="00FFCCCC"/>
    </indexed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4.xml"/><Relationship Id="rId35" Type="http://schemas.openxmlformats.org/officeDocument/2006/relationships/externalLink" Target="externalLinks/externalLink3.xml"/><Relationship Id="rId34" Type="http://schemas.openxmlformats.org/officeDocument/2006/relationships/externalLink" Target="externalLinks/externalLink2.xml"/><Relationship Id="rId33" Type="http://schemas.openxmlformats.org/officeDocument/2006/relationships/externalLink" Target="externalLinks/externalLink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lzj/&#39044;&#31639;&#31185;&#65288;&#19994;&#21153;&#65289;/&#39044;&#31639;/&#25919;&#24220;&#39044;&#31639;/&#20154;&#20195;&#20250;&#25253;&#21578;/2023&#24180;/J:/&#29579;&#27704;&#21018;&#30340;&#25991;&#20214;/&#39044;&#31639;/&#39044;&#31639;&#20869;/2006/&#20154;&#22823;&#25253;&#21578;/&#22266;&#21407;&#24066;&#24066;&#32423;&#36130;&#25919;&#36716;&#25442;&#39044;&#31639;&#25968;&#25454;&#38468;&#20214;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home/lzj/&#39044;&#31639;&#31185;&#65288;&#19994;&#21153;&#65289;/&#39044;&#31639;/&#37096;&#38376;&#39044;&#31639;/2024/&#24066;&#26412;&#32423;/home/zhuwm/04&#22320;&#26041;&#32508;&#21512;/06&#22320;&#26041;&#39044;&#31639;/2022&#24180;/2022&#24180;&#22320;&#26041;&#36130;&#25919;&#39044;&#31639;&#349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home/lzj/&#39044;&#31639;&#31185;&#65288;&#19994;&#21153;&#65289;/&#39044;&#31639;/&#37096;&#38376;&#39044;&#31639;/2024/&#24066;&#26412;&#32423;/data/home/lzj/&#39044;&#31639;&#31185;&#65288;&#19994;&#21153;&#65289;/&#39044;&#31639;/&#25919;&#24220;&#39044;&#31639;/&#20154;&#20195;&#20250;&#25253;&#21578;/2023&#24180;/J:/&#29579;&#27704;&#21018;&#30340;&#25991;&#20214;/&#39044;&#31639;/&#39044;&#31639;&#20869;/2006/&#20154;&#22823;&#25253;&#21578;/&#22266;&#21407;&#24066;&#24066;&#32423;&#36130;&#25919;&#36716;&#25442;&#39044;&#31639;&#25968;&#25454;&#38468;&#20214;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lxy/1EAA49C5AA499A63/&#21457;&#36865;&#25991;&#20214;/&#31532;&#22235;&#23395;&#24230;/&#20538;&#21153;&#31185;2024&#24180;&#39044;&#31639;&#26368;&#32456;&#29256;&#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表一"/>
      <sheetName val="表二"/>
      <sheetName val="表三"/>
      <sheetName val="表四"/>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表一"/>
      <sheetName val="表二"/>
      <sheetName val="表三"/>
      <sheetName val="表四"/>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
      <sheetName val="表1-1"/>
      <sheetName val="表1-2"/>
      <sheetName val="表1-3"/>
      <sheetName val="表2"/>
      <sheetName val="表3 "/>
      <sheetName val="表4 "/>
      <sheetName val="表5-1"/>
      <sheetName val="表5-2"/>
      <sheetName val="表6-1"/>
      <sheetName val="表6-2"/>
      <sheetName val="表7"/>
      <sheetName val="表8"/>
      <sheetName val="表9 "/>
      <sheetName val="表10-1"/>
      <sheetName val="表10-2"/>
      <sheetName val="表10-3"/>
      <sheetName val="表11"/>
      <sheetName val="表12"/>
      <sheetName val="表13"/>
      <sheetName val="表14-1"/>
      <sheetName val="表14-2"/>
      <sheetName val="表14-3"/>
      <sheetName val="14-4"/>
      <sheetName val="表14-5"/>
      <sheetName val="表14-6"/>
      <sheetName val="表15-1"/>
      <sheetName val="表15-2"/>
      <sheetName val="表16"/>
      <sheetName val="表17-1"/>
      <sheetName val="表17-2"/>
      <sheetName val="表17-3"/>
      <sheetName val="表18"/>
      <sheetName val="表19"/>
      <sheetName val="表20-1"/>
      <sheetName val="表20-2"/>
      <sheetName val="表20-3"/>
      <sheetName val="表20-4"/>
      <sheetName val="表20-5"/>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6">
          <cell r="G6">
            <v>84.1453</v>
          </cell>
        </row>
      </sheetData>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8:A20"/>
  <sheetViews>
    <sheetView zoomScale="75" zoomScaleNormal="75" workbookViewId="0">
      <selection activeCell="A8" sqref="A8"/>
    </sheetView>
  </sheetViews>
  <sheetFormatPr defaultColWidth="8" defaultRowHeight="14.25"/>
  <cols>
    <col min="1" max="1" width="127.666666666667" style="127" customWidth="true"/>
    <col min="2" max="16384" width="8" style="127"/>
  </cols>
  <sheetData>
    <row r="8" ht="163" customHeight="true" spans="1:1">
      <c r="A8" s="613" t="s">
        <v>0</v>
      </c>
    </row>
    <row r="19" ht="25.5" spans="1:1">
      <c r="A19" s="614"/>
    </row>
    <row r="20" ht="25.5" spans="1:1">
      <c r="A20" s="614"/>
    </row>
  </sheetData>
  <printOptions horizontalCentered="true"/>
  <pageMargins left="0.31" right="0.2" top="0.63" bottom="0.98" header="0.51" footer="0.51"/>
  <pageSetup paperSize="9"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1"/>
  <sheetViews>
    <sheetView showGridLines="0" showZeros="0" zoomScale="130" zoomScaleNormal="130" workbookViewId="0">
      <pane xSplit="2" ySplit="5" topLeftCell="C182" activePane="bottomRight" state="frozen"/>
      <selection/>
      <selection pane="topRight"/>
      <selection pane="bottomLeft"/>
      <selection pane="bottomRight" activeCell="B215" sqref="B215"/>
    </sheetView>
  </sheetViews>
  <sheetFormatPr defaultColWidth="9" defaultRowHeight="13.5"/>
  <cols>
    <col min="1" max="1" width="9.375" style="181"/>
    <col min="2" max="2" width="45.25" style="181" customWidth="true"/>
    <col min="3" max="9" width="14" style="184" customWidth="true"/>
    <col min="10" max="16384" width="9" style="181"/>
  </cols>
  <sheetData>
    <row r="1" ht="14.25" spans="1:1">
      <c r="A1" s="185" t="s">
        <v>1310</v>
      </c>
    </row>
    <row r="2" s="182" customFormat="true" ht="22.5" spans="1:9">
      <c r="A2" s="186" t="s">
        <v>1311</v>
      </c>
      <c r="B2" s="186"/>
      <c r="C2" s="187"/>
      <c r="D2" s="187"/>
      <c r="E2" s="187"/>
      <c r="F2" s="187"/>
      <c r="G2" s="187"/>
      <c r="H2" s="187"/>
      <c r="I2" s="187"/>
    </row>
    <row r="3" ht="18" customHeight="true" spans="9:9">
      <c r="I3" s="200" t="s">
        <v>3</v>
      </c>
    </row>
    <row r="4" s="183" customFormat="true" ht="31.5" customHeight="true" spans="1:9">
      <c r="A4" s="209" t="s">
        <v>264</v>
      </c>
      <c r="B4" s="209"/>
      <c r="C4" s="211" t="s">
        <v>1312</v>
      </c>
      <c r="D4" s="211" t="s">
        <v>1313</v>
      </c>
      <c r="E4" s="211" t="s">
        <v>1314</v>
      </c>
      <c r="F4" s="211" t="s">
        <v>1315</v>
      </c>
      <c r="G4" s="211" t="s">
        <v>1316</v>
      </c>
      <c r="H4" s="211" t="s">
        <v>1317</v>
      </c>
      <c r="I4" s="211" t="s">
        <v>1318</v>
      </c>
    </row>
    <row r="5" s="183" customFormat="true" ht="27" customHeight="true" spans="1:9">
      <c r="A5" s="209" t="s">
        <v>268</v>
      </c>
      <c r="B5" s="209" t="s">
        <v>269</v>
      </c>
      <c r="C5" s="211"/>
      <c r="D5" s="211"/>
      <c r="E5" s="319"/>
      <c r="F5" s="211"/>
      <c r="G5" s="211"/>
      <c r="H5" s="211"/>
      <c r="I5" s="211"/>
    </row>
    <row r="6" s="183" customFormat="true" ht="20.1" customHeight="true" spans="1:9">
      <c r="A6" s="314">
        <v>201</v>
      </c>
      <c r="B6" s="225" t="s">
        <v>1319</v>
      </c>
      <c r="C6" s="219">
        <f t="shared" ref="C6:I6" si="0">SUM(C7:C32)</f>
        <v>30382</v>
      </c>
      <c r="D6" s="219">
        <f t="shared" si="0"/>
        <v>27954</v>
      </c>
      <c r="E6" s="219">
        <f t="shared" si="0"/>
        <v>382</v>
      </c>
      <c r="F6" s="219">
        <f t="shared" si="0"/>
        <v>2046</v>
      </c>
      <c r="G6" s="219">
        <f t="shared" si="0"/>
        <v>0</v>
      </c>
      <c r="H6" s="219">
        <f t="shared" si="0"/>
        <v>0</v>
      </c>
      <c r="I6" s="219">
        <f t="shared" si="0"/>
        <v>0</v>
      </c>
    </row>
    <row r="7" ht="20.1" customHeight="true" spans="1:9">
      <c r="A7" s="315">
        <v>20101</v>
      </c>
      <c r="B7" s="315" t="s">
        <v>305</v>
      </c>
      <c r="C7" s="316">
        <f t="shared" ref="C7:C32" si="1">D7+E7+F7+G7+H7+I7</f>
        <v>1466</v>
      </c>
      <c r="D7" s="316">
        <v>1420</v>
      </c>
      <c r="E7" s="316">
        <v>0</v>
      </c>
      <c r="F7" s="316">
        <v>46</v>
      </c>
      <c r="G7" s="316"/>
      <c r="H7" s="316"/>
      <c r="I7" s="316"/>
    </row>
    <row r="8" ht="20.1" customHeight="true" spans="1:9">
      <c r="A8" s="315">
        <v>20102</v>
      </c>
      <c r="B8" s="315" t="s">
        <v>317</v>
      </c>
      <c r="C8" s="316">
        <f t="shared" si="1"/>
        <v>1077</v>
      </c>
      <c r="D8" s="316">
        <v>1051</v>
      </c>
      <c r="E8" s="316">
        <v>0</v>
      </c>
      <c r="F8" s="316">
        <v>26</v>
      </c>
      <c r="G8" s="316"/>
      <c r="H8" s="316"/>
      <c r="I8" s="316"/>
    </row>
    <row r="9" ht="20.1" customHeight="true" spans="1:9">
      <c r="A9" s="315">
        <v>20103</v>
      </c>
      <c r="B9" s="315" t="s">
        <v>322</v>
      </c>
      <c r="C9" s="316">
        <f t="shared" si="1"/>
        <v>5163</v>
      </c>
      <c r="D9" s="316">
        <v>5037</v>
      </c>
      <c r="E9" s="316">
        <v>0</v>
      </c>
      <c r="F9" s="316">
        <v>126</v>
      </c>
      <c r="G9" s="316"/>
      <c r="H9" s="316"/>
      <c r="I9" s="316"/>
    </row>
    <row r="10" ht="20.1" customHeight="true" spans="1:9">
      <c r="A10" s="315">
        <v>20104</v>
      </c>
      <c r="B10" s="315" t="s">
        <v>329</v>
      </c>
      <c r="C10" s="316">
        <f t="shared" si="1"/>
        <v>621</v>
      </c>
      <c r="D10" s="316">
        <v>605</v>
      </c>
      <c r="E10" s="316">
        <v>0</v>
      </c>
      <c r="F10" s="316">
        <v>16</v>
      </c>
      <c r="G10" s="316"/>
      <c r="H10" s="316"/>
      <c r="I10" s="316"/>
    </row>
    <row r="11" ht="20.1" customHeight="true" spans="1:9">
      <c r="A11" s="315">
        <v>20105</v>
      </c>
      <c r="B11" s="317" t="s">
        <v>336</v>
      </c>
      <c r="C11" s="316">
        <f t="shared" si="1"/>
        <v>321</v>
      </c>
      <c r="D11" s="316">
        <v>290</v>
      </c>
      <c r="E11" s="316">
        <v>0</v>
      </c>
      <c r="F11" s="316">
        <v>31</v>
      </c>
      <c r="G11" s="316"/>
      <c r="H11" s="316"/>
      <c r="I11" s="316"/>
    </row>
    <row r="12" ht="20.1" customHeight="true" spans="1:9">
      <c r="A12" s="315">
        <v>20106</v>
      </c>
      <c r="B12" s="315" t="s">
        <v>343</v>
      </c>
      <c r="C12" s="316">
        <f t="shared" si="1"/>
        <v>1208</v>
      </c>
      <c r="D12" s="316">
        <v>1167</v>
      </c>
      <c r="E12" s="316">
        <v>0</v>
      </c>
      <c r="F12" s="316">
        <v>41</v>
      </c>
      <c r="G12" s="316"/>
      <c r="H12" s="316"/>
      <c r="I12" s="316"/>
    </row>
    <row r="13" ht="20.1" customHeight="true" spans="1:9">
      <c r="A13" s="315">
        <v>20107</v>
      </c>
      <c r="B13" s="315" t="s">
        <v>350</v>
      </c>
      <c r="C13" s="316">
        <f t="shared" si="1"/>
        <v>0</v>
      </c>
      <c r="D13" s="316"/>
      <c r="E13" s="316"/>
      <c r="F13" s="316"/>
      <c r="G13" s="316"/>
      <c r="H13" s="316"/>
      <c r="I13" s="316"/>
    </row>
    <row r="14" ht="20.1" customHeight="true" spans="1:9">
      <c r="A14" s="315">
        <v>20108</v>
      </c>
      <c r="B14" s="317" t="s">
        <v>353</v>
      </c>
      <c r="C14" s="316">
        <f t="shared" si="1"/>
        <v>444</v>
      </c>
      <c r="D14" s="316">
        <v>434</v>
      </c>
      <c r="E14" s="316">
        <v>10</v>
      </c>
      <c r="F14" s="316">
        <v>0</v>
      </c>
      <c r="G14" s="316"/>
      <c r="H14" s="316"/>
      <c r="I14" s="316"/>
    </row>
    <row r="15" ht="20.1" customHeight="true" spans="1:9">
      <c r="A15" s="315">
        <v>20109</v>
      </c>
      <c r="B15" s="315" t="s">
        <v>358</v>
      </c>
      <c r="C15" s="316">
        <f t="shared" si="1"/>
        <v>0</v>
      </c>
      <c r="D15" s="316"/>
      <c r="E15" s="316"/>
      <c r="F15" s="316"/>
      <c r="G15" s="316"/>
      <c r="H15" s="316"/>
      <c r="I15" s="316"/>
    </row>
    <row r="16" ht="20.1" customHeight="true" spans="1:9">
      <c r="A16" s="315">
        <v>20111</v>
      </c>
      <c r="B16" s="198" t="s">
        <v>366</v>
      </c>
      <c r="C16" s="316">
        <f t="shared" si="1"/>
        <v>1900</v>
      </c>
      <c r="D16" s="316">
        <v>1874</v>
      </c>
      <c r="E16" s="316">
        <v>0</v>
      </c>
      <c r="F16" s="316">
        <v>26</v>
      </c>
      <c r="G16" s="316"/>
      <c r="H16" s="316"/>
      <c r="I16" s="316"/>
    </row>
    <row r="17" ht="20.1" customHeight="true" spans="1:9">
      <c r="A17" s="315">
        <v>20113</v>
      </c>
      <c r="B17" s="198" t="s">
        <v>371</v>
      </c>
      <c r="C17" s="316">
        <f t="shared" si="1"/>
        <v>667</v>
      </c>
      <c r="D17" s="316">
        <v>494</v>
      </c>
      <c r="E17" s="316">
        <v>0</v>
      </c>
      <c r="F17" s="316">
        <v>173</v>
      </c>
      <c r="G17" s="316"/>
      <c r="H17" s="316"/>
      <c r="I17" s="316"/>
    </row>
    <row r="18" ht="20.1" customHeight="true" spans="1:9">
      <c r="A18" s="315">
        <v>20114</v>
      </c>
      <c r="B18" s="317" t="s">
        <v>378</v>
      </c>
      <c r="C18" s="316">
        <f t="shared" si="1"/>
        <v>0</v>
      </c>
      <c r="D18" s="316"/>
      <c r="E18" s="316"/>
      <c r="F18" s="316"/>
      <c r="G18" s="316"/>
      <c r="H18" s="316"/>
      <c r="I18" s="316"/>
    </row>
    <row r="19" ht="20.1" customHeight="true" spans="1:9">
      <c r="A19" s="315">
        <v>20123</v>
      </c>
      <c r="B19" s="315" t="s">
        <v>386</v>
      </c>
      <c r="C19" s="316">
        <f t="shared" si="1"/>
        <v>25</v>
      </c>
      <c r="D19" s="316"/>
      <c r="E19" s="316">
        <v>0</v>
      </c>
      <c r="F19" s="316">
        <v>25</v>
      </c>
      <c r="G19" s="316"/>
      <c r="H19" s="316"/>
      <c r="I19" s="316"/>
    </row>
    <row r="20" ht="20.1" customHeight="true" spans="1:9">
      <c r="A20" s="315">
        <v>20125</v>
      </c>
      <c r="B20" s="315" t="s">
        <v>389</v>
      </c>
      <c r="C20" s="316">
        <f t="shared" si="1"/>
        <v>0</v>
      </c>
      <c r="D20" s="316"/>
      <c r="E20" s="316"/>
      <c r="F20" s="316"/>
      <c r="G20" s="316"/>
      <c r="H20" s="316"/>
      <c r="I20" s="316"/>
    </row>
    <row r="21" ht="20.1" customHeight="true" spans="1:9">
      <c r="A21" s="315">
        <v>20126</v>
      </c>
      <c r="B21" s="317" t="s">
        <v>393</v>
      </c>
      <c r="C21" s="316">
        <f t="shared" si="1"/>
        <v>384</v>
      </c>
      <c r="D21" s="316">
        <v>384</v>
      </c>
      <c r="E21" s="316"/>
      <c r="F21" s="316"/>
      <c r="G21" s="316"/>
      <c r="H21" s="316"/>
      <c r="I21" s="316"/>
    </row>
    <row r="22" ht="18.75" customHeight="true" spans="1:9">
      <c r="A22" s="315">
        <v>20128</v>
      </c>
      <c r="B22" s="317" t="s">
        <v>396</v>
      </c>
      <c r="C22" s="316">
        <f t="shared" si="1"/>
        <v>160</v>
      </c>
      <c r="D22" s="316">
        <v>153</v>
      </c>
      <c r="E22" s="316">
        <v>0</v>
      </c>
      <c r="F22" s="316">
        <v>7</v>
      </c>
      <c r="G22" s="316"/>
      <c r="H22" s="316"/>
      <c r="I22" s="316"/>
    </row>
    <row r="23" ht="20.1" customHeight="true" spans="1:9">
      <c r="A23" s="315">
        <v>20129</v>
      </c>
      <c r="B23" s="317" t="s">
        <v>398</v>
      </c>
      <c r="C23" s="316">
        <f t="shared" si="1"/>
        <v>724</v>
      </c>
      <c r="D23" s="316">
        <v>702</v>
      </c>
      <c r="E23" s="316">
        <v>0</v>
      </c>
      <c r="F23" s="316">
        <v>22</v>
      </c>
      <c r="G23" s="316"/>
      <c r="H23" s="316"/>
      <c r="I23" s="316"/>
    </row>
    <row r="24" ht="20.1" customHeight="true" spans="1:9">
      <c r="A24" s="315">
        <v>20131</v>
      </c>
      <c r="B24" s="317" t="s">
        <v>401</v>
      </c>
      <c r="C24" s="316">
        <f t="shared" si="1"/>
        <v>1284</v>
      </c>
      <c r="D24" s="316">
        <v>1158</v>
      </c>
      <c r="E24" s="316">
        <v>0</v>
      </c>
      <c r="F24" s="316">
        <v>126</v>
      </c>
      <c r="G24" s="316"/>
      <c r="H24" s="316"/>
      <c r="I24" s="316"/>
    </row>
    <row r="25" ht="20.1" customHeight="true" spans="1:9">
      <c r="A25" s="315">
        <v>20132</v>
      </c>
      <c r="B25" s="317" t="s">
        <v>404</v>
      </c>
      <c r="C25" s="316">
        <f t="shared" si="1"/>
        <v>1320</v>
      </c>
      <c r="D25" s="316">
        <v>1056</v>
      </c>
      <c r="E25" s="316">
        <v>0</v>
      </c>
      <c r="F25" s="316">
        <v>264</v>
      </c>
      <c r="G25" s="316"/>
      <c r="H25" s="316"/>
      <c r="I25" s="316"/>
    </row>
    <row r="26" ht="20.1" customHeight="true" spans="1:9">
      <c r="A26" s="315">
        <v>20133</v>
      </c>
      <c r="B26" s="317" t="s">
        <v>407</v>
      </c>
      <c r="C26" s="316">
        <f t="shared" si="1"/>
        <v>604</v>
      </c>
      <c r="D26" s="316">
        <v>518</v>
      </c>
      <c r="E26" s="316">
        <v>0</v>
      </c>
      <c r="F26" s="316">
        <v>86</v>
      </c>
      <c r="G26" s="316"/>
      <c r="H26" s="316"/>
      <c r="I26" s="316"/>
    </row>
    <row r="27" ht="20.1" customHeight="true" spans="1:9">
      <c r="A27" s="315">
        <v>20134</v>
      </c>
      <c r="B27" s="317" t="s">
        <v>410</v>
      </c>
      <c r="C27" s="316">
        <f t="shared" si="1"/>
        <v>460</v>
      </c>
      <c r="D27" s="316">
        <v>443</v>
      </c>
      <c r="E27" s="316">
        <v>8</v>
      </c>
      <c r="F27" s="316">
        <v>9</v>
      </c>
      <c r="G27" s="316"/>
      <c r="H27" s="316"/>
      <c r="I27" s="316"/>
    </row>
    <row r="28" ht="20.1" customHeight="true" spans="1:9">
      <c r="A28" s="315">
        <v>20135</v>
      </c>
      <c r="B28" s="317" t="s">
        <v>415</v>
      </c>
      <c r="C28" s="316">
        <f t="shared" si="1"/>
        <v>0</v>
      </c>
      <c r="D28" s="316"/>
      <c r="E28" s="316"/>
      <c r="F28" s="316"/>
      <c r="G28" s="316"/>
      <c r="H28" s="316"/>
      <c r="I28" s="316"/>
    </row>
    <row r="29" ht="20.1" customHeight="true" spans="1:9">
      <c r="A29" s="315">
        <v>20136</v>
      </c>
      <c r="B29" s="317" t="s">
        <v>417</v>
      </c>
      <c r="C29" s="316">
        <f t="shared" si="1"/>
        <v>1230</v>
      </c>
      <c r="D29" s="316">
        <v>1224</v>
      </c>
      <c r="E29" s="316"/>
      <c r="F29" s="316">
        <v>6</v>
      </c>
      <c r="G29" s="316"/>
      <c r="H29" s="316"/>
      <c r="I29" s="316"/>
    </row>
    <row r="30" ht="20.1" customHeight="true" spans="1:9">
      <c r="A30" s="315">
        <v>20137</v>
      </c>
      <c r="B30" s="315" t="s">
        <v>419</v>
      </c>
      <c r="C30" s="316">
        <f t="shared" si="1"/>
        <v>310</v>
      </c>
      <c r="D30" s="316">
        <v>310</v>
      </c>
      <c r="E30" s="316"/>
      <c r="F30" s="316"/>
      <c r="G30" s="316"/>
      <c r="H30" s="316"/>
      <c r="I30" s="316"/>
    </row>
    <row r="31" ht="20.1" customHeight="true" spans="1:9">
      <c r="A31" s="315">
        <v>20138</v>
      </c>
      <c r="B31" s="315" t="s">
        <v>422</v>
      </c>
      <c r="C31" s="316">
        <f t="shared" si="1"/>
        <v>3384</v>
      </c>
      <c r="D31" s="316">
        <v>3011</v>
      </c>
      <c r="E31" s="316">
        <v>364</v>
      </c>
      <c r="F31" s="316">
        <v>9</v>
      </c>
      <c r="G31" s="316"/>
      <c r="H31" s="316"/>
      <c r="I31" s="316"/>
    </row>
    <row r="32" ht="20.1" customHeight="true" spans="1:9">
      <c r="A32" s="315">
        <v>20199</v>
      </c>
      <c r="B32" s="315" t="s">
        <v>435</v>
      </c>
      <c r="C32" s="316">
        <f t="shared" si="1"/>
        <v>7630</v>
      </c>
      <c r="D32" s="316">
        <v>6623</v>
      </c>
      <c r="E32" s="316">
        <v>0</v>
      </c>
      <c r="F32" s="316">
        <v>1007</v>
      </c>
      <c r="G32" s="316"/>
      <c r="H32" s="316"/>
      <c r="I32" s="316"/>
    </row>
    <row r="33" s="183" customFormat="true" ht="20.1" customHeight="true" spans="1:9">
      <c r="A33" s="314">
        <v>202</v>
      </c>
      <c r="B33" s="225" t="s">
        <v>1320</v>
      </c>
      <c r="C33" s="219">
        <f t="shared" ref="C33:I33" si="2">SUM(C34:C35)</f>
        <v>0</v>
      </c>
      <c r="D33" s="219">
        <f t="shared" si="2"/>
        <v>0</v>
      </c>
      <c r="E33" s="219">
        <f t="shared" si="2"/>
        <v>0</v>
      </c>
      <c r="F33" s="219">
        <f t="shared" si="2"/>
        <v>0</v>
      </c>
      <c r="G33" s="219">
        <f t="shared" si="2"/>
        <v>0</v>
      </c>
      <c r="H33" s="219">
        <f t="shared" si="2"/>
        <v>0</v>
      </c>
      <c r="I33" s="219">
        <f t="shared" si="2"/>
        <v>0</v>
      </c>
    </row>
    <row r="34" ht="20.1" customHeight="true" spans="1:9">
      <c r="A34" s="315">
        <v>20205</v>
      </c>
      <c r="B34" s="315" t="s">
        <v>439</v>
      </c>
      <c r="C34" s="316">
        <f t="shared" ref="C34:C38" si="3">D34+E34+F34+G34+H34+I34</f>
        <v>0</v>
      </c>
      <c r="D34" s="316"/>
      <c r="E34" s="316"/>
      <c r="F34" s="316"/>
      <c r="G34" s="316"/>
      <c r="H34" s="316"/>
      <c r="I34" s="316"/>
    </row>
    <row r="35" ht="20.1" customHeight="true" spans="1:9">
      <c r="A35" s="315">
        <v>20299</v>
      </c>
      <c r="B35" s="315" t="s">
        <v>441</v>
      </c>
      <c r="C35" s="316">
        <f t="shared" si="3"/>
        <v>0</v>
      </c>
      <c r="D35" s="316"/>
      <c r="E35" s="316"/>
      <c r="F35" s="316"/>
      <c r="G35" s="316"/>
      <c r="H35" s="316"/>
      <c r="I35" s="316"/>
    </row>
    <row r="36" s="183" customFormat="true" ht="20.1" customHeight="true" spans="1:9">
      <c r="A36" s="314">
        <v>203</v>
      </c>
      <c r="B36" s="225" t="s">
        <v>1321</v>
      </c>
      <c r="C36" s="219">
        <f t="shared" ref="C36:I36" si="4">SUM(C37:C38)</f>
        <v>60</v>
      </c>
      <c r="D36" s="219">
        <f t="shared" si="4"/>
        <v>0</v>
      </c>
      <c r="E36" s="219">
        <f t="shared" si="4"/>
        <v>0</v>
      </c>
      <c r="F36" s="219">
        <f t="shared" si="4"/>
        <v>60</v>
      </c>
      <c r="G36" s="219">
        <f t="shared" si="4"/>
        <v>0</v>
      </c>
      <c r="H36" s="219">
        <f t="shared" si="4"/>
        <v>0</v>
      </c>
      <c r="I36" s="219">
        <f t="shared" si="4"/>
        <v>0</v>
      </c>
    </row>
    <row r="37" ht="20.1" customHeight="true" spans="1:9">
      <c r="A37" s="196">
        <v>20306</v>
      </c>
      <c r="B37" s="317" t="s">
        <v>443</v>
      </c>
      <c r="C37" s="316">
        <f t="shared" si="3"/>
        <v>60</v>
      </c>
      <c r="D37" s="316"/>
      <c r="E37" s="316">
        <v>0</v>
      </c>
      <c r="F37" s="316">
        <v>60</v>
      </c>
      <c r="G37" s="316"/>
      <c r="H37" s="316"/>
      <c r="I37" s="316"/>
    </row>
    <row r="38" ht="20.1" customHeight="true" spans="1:9">
      <c r="A38" s="196">
        <v>20399</v>
      </c>
      <c r="B38" s="317" t="s">
        <v>451</v>
      </c>
      <c r="C38" s="316">
        <f t="shared" si="3"/>
        <v>0</v>
      </c>
      <c r="D38" s="316"/>
      <c r="E38" s="316"/>
      <c r="F38" s="316"/>
      <c r="G38" s="316"/>
      <c r="H38" s="316"/>
      <c r="I38" s="316"/>
    </row>
    <row r="39" s="183" customFormat="true" ht="20.1" customHeight="true" spans="1:9">
      <c r="A39" s="318">
        <v>204</v>
      </c>
      <c r="B39" s="225" t="s">
        <v>1322</v>
      </c>
      <c r="C39" s="219">
        <f t="shared" ref="C39:I39" si="5">SUM(C40:C50)</f>
        <v>20664</v>
      </c>
      <c r="D39" s="219">
        <f t="shared" si="5"/>
        <v>17605</v>
      </c>
      <c r="E39" s="219">
        <f t="shared" si="5"/>
        <v>869</v>
      </c>
      <c r="F39" s="219">
        <f t="shared" si="5"/>
        <v>2190</v>
      </c>
      <c r="G39" s="219">
        <f t="shared" si="5"/>
        <v>0</v>
      </c>
      <c r="H39" s="219">
        <f t="shared" si="5"/>
        <v>0</v>
      </c>
      <c r="I39" s="219">
        <f t="shared" si="5"/>
        <v>0</v>
      </c>
    </row>
    <row r="40" ht="20.1" customHeight="true" spans="1:9">
      <c r="A40" s="315">
        <v>20401</v>
      </c>
      <c r="B40" s="315" t="s">
        <v>452</v>
      </c>
      <c r="C40" s="316">
        <f t="shared" ref="C40:C50" si="6">D40+E40+F40+G40+H40+I40</f>
        <v>0</v>
      </c>
      <c r="D40" s="316"/>
      <c r="E40" s="316"/>
      <c r="F40" s="316"/>
      <c r="G40" s="316"/>
      <c r="H40" s="316"/>
      <c r="I40" s="316"/>
    </row>
    <row r="41" ht="20.1" customHeight="true" spans="1:9">
      <c r="A41" s="315">
        <v>20402</v>
      </c>
      <c r="B41" s="317" t="s">
        <v>455</v>
      </c>
      <c r="C41" s="316">
        <f t="shared" si="6"/>
        <v>19583</v>
      </c>
      <c r="D41" s="316">
        <v>17114</v>
      </c>
      <c r="E41" s="316">
        <v>869</v>
      </c>
      <c r="F41" s="316">
        <v>1600</v>
      </c>
      <c r="G41" s="316"/>
      <c r="H41" s="316"/>
      <c r="I41" s="316"/>
    </row>
    <row r="42" ht="20.1" customHeight="true" spans="1:9">
      <c r="A42" s="315">
        <v>20403</v>
      </c>
      <c r="B42" s="315" t="s">
        <v>462</v>
      </c>
      <c r="C42" s="316">
        <f t="shared" si="6"/>
        <v>0</v>
      </c>
      <c r="D42" s="316"/>
      <c r="E42" s="316"/>
      <c r="F42" s="316"/>
      <c r="G42" s="316"/>
      <c r="H42" s="316"/>
      <c r="I42" s="316"/>
    </row>
    <row r="43" ht="20.1" customHeight="true" spans="1:9">
      <c r="A43" s="315">
        <v>20404</v>
      </c>
      <c r="B43" s="315" t="s">
        <v>465</v>
      </c>
      <c r="C43" s="316">
        <f t="shared" si="6"/>
        <v>0</v>
      </c>
      <c r="D43" s="316"/>
      <c r="E43" s="316"/>
      <c r="F43" s="316"/>
      <c r="G43" s="316"/>
      <c r="H43" s="316"/>
      <c r="I43" s="316"/>
    </row>
    <row r="44" ht="20.1" customHeight="true" spans="1:9">
      <c r="A44" s="315">
        <v>20405</v>
      </c>
      <c r="B44" s="198" t="s">
        <v>469</v>
      </c>
      <c r="C44" s="316">
        <f t="shared" si="6"/>
        <v>0</v>
      </c>
      <c r="D44" s="316"/>
      <c r="E44" s="316"/>
      <c r="F44" s="316"/>
      <c r="G44" s="316"/>
      <c r="H44" s="316"/>
      <c r="I44" s="316"/>
    </row>
    <row r="45" ht="20.1" customHeight="true" spans="1:9">
      <c r="A45" s="315">
        <v>20406</v>
      </c>
      <c r="B45" s="315" t="s">
        <v>474</v>
      </c>
      <c r="C45" s="316">
        <f t="shared" si="6"/>
        <v>814</v>
      </c>
      <c r="D45" s="316">
        <v>491</v>
      </c>
      <c r="E45" s="316">
        <v>0</v>
      </c>
      <c r="F45" s="316">
        <v>323</v>
      </c>
      <c r="G45" s="316"/>
      <c r="H45" s="316"/>
      <c r="I45" s="316"/>
    </row>
    <row r="46" ht="20.1" customHeight="true" spans="1:9">
      <c r="A46" s="315">
        <v>20407</v>
      </c>
      <c r="B46" s="315" t="s">
        <v>483</v>
      </c>
      <c r="C46" s="316">
        <f t="shared" si="6"/>
        <v>0</v>
      </c>
      <c r="D46" s="316"/>
      <c r="E46" s="316"/>
      <c r="F46" s="316"/>
      <c r="G46" s="316"/>
      <c r="H46" s="316"/>
      <c r="I46" s="316"/>
    </row>
    <row r="47" ht="20.1" customHeight="true" spans="1:9">
      <c r="A47" s="315">
        <v>20408</v>
      </c>
      <c r="B47" s="317" t="s">
        <v>488</v>
      </c>
      <c r="C47" s="316">
        <f t="shared" si="6"/>
        <v>0</v>
      </c>
      <c r="D47" s="316"/>
      <c r="E47" s="316"/>
      <c r="F47" s="316"/>
      <c r="G47" s="316"/>
      <c r="H47" s="316"/>
      <c r="I47" s="316"/>
    </row>
    <row r="48" ht="20.1" customHeight="true" spans="1:9">
      <c r="A48" s="315">
        <v>20409</v>
      </c>
      <c r="B48" s="198" t="s">
        <v>493</v>
      </c>
      <c r="C48" s="316">
        <f t="shared" si="6"/>
        <v>0</v>
      </c>
      <c r="D48" s="316"/>
      <c r="E48" s="316"/>
      <c r="F48" s="316"/>
      <c r="G48" s="316"/>
      <c r="H48" s="316"/>
      <c r="I48" s="316"/>
    </row>
    <row r="49" ht="20.1" customHeight="true" spans="1:9">
      <c r="A49" s="315">
        <v>20410</v>
      </c>
      <c r="B49" s="315" t="s">
        <v>497</v>
      </c>
      <c r="C49" s="316">
        <f t="shared" si="6"/>
        <v>0</v>
      </c>
      <c r="D49" s="316"/>
      <c r="E49" s="316"/>
      <c r="F49" s="316"/>
      <c r="G49" s="316"/>
      <c r="H49" s="316"/>
      <c r="I49" s="316"/>
    </row>
    <row r="50" ht="20.1" customHeight="true" spans="1:9">
      <c r="A50" s="315">
        <v>20499</v>
      </c>
      <c r="B50" s="315" t="s">
        <v>500</v>
      </c>
      <c r="C50" s="316">
        <f t="shared" si="6"/>
        <v>267</v>
      </c>
      <c r="D50" s="316"/>
      <c r="E50" s="316">
        <v>0</v>
      </c>
      <c r="F50" s="316">
        <v>267</v>
      </c>
      <c r="G50" s="316"/>
      <c r="H50" s="316"/>
      <c r="I50" s="316"/>
    </row>
    <row r="51" s="183" customFormat="true" ht="19.5" customHeight="true" spans="1:9">
      <c r="A51" s="318">
        <v>205</v>
      </c>
      <c r="B51" s="225" t="s">
        <v>1323</v>
      </c>
      <c r="C51" s="219">
        <f t="shared" ref="C51:I51" si="7">SUM(C52:C61)</f>
        <v>45356</v>
      </c>
      <c r="D51" s="219">
        <f t="shared" si="7"/>
        <v>30769</v>
      </c>
      <c r="E51" s="219">
        <f t="shared" si="7"/>
        <v>2666</v>
      </c>
      <c r="F51" s="219">
        <f t="shared" si="7"/>
        <v>11921</v>
      </c>
      <c r="G51" s="219">
        <f t="shared" si="7"/>
        <v>0</v>
      </c>
      <c r="H51" s="219">
        <f t="shared" si="7"/>
        <v>0</v>
      </c>
      <c r="I51" s="219">
        <f t="shared" si="7"/>
        <v>0</v>
      </c>
    </row>
    <row r="52" ht="20.1" customHeight="true" spans="1:9">
      <c r="A52" s="315">
        <v>20501</v>
      </c>
      <c r="B52" s="317" t="s">
        <v>504</v>
      </c>
      <c r="C52" s="316">
        <f t="shared" ref="C52:C61" si="8">D52+E52+F52+G52+H52+I52</f>
        <v>1161</v>
      </c>
      <c r="D52" s="316">
        <v>724</v>
      </c>
      <c r="E52" s="316">
        <v>399</v>
      </c>
      <c r="F52" s="316">
        <v>38</v>
      </c>
      <c r="G52" s="316"/>
      <c r="H52" s="316"/>
      <c r="I52" s="316"/>
    </row>
    <row r="53" ht="20.1" customHeight="true" spans="1:9">
      <c r="A53" s="315">
        <v>20502</v>
      </c>
      <c r="B53" s="315" t="s">
        <v>507</v>
      </c>
      <c r="C53" s="316">
        <f t="shared" si="8"/>
        <v>32004</v>
      </c>
      <c r="D53" s="316">
        <v>23179</v>
      </c>
      <c r="E53" s="316">
        <f>65+627</f>
        <v>692</v>
      </c>
      <c r="F53" s="316">
        <v>8133</v>
      </c>
      <c r="G53" s="316"/>
      <c r="H53" s="316"/>
      <c r="I53" s="316"/>
    </row>
    <row r="54" ht="20.1" customHeight="true" spans="1:9">
      <c r="A54" s="315">
        <v>20503</v>
      </c>
      <c r="B54" s="315" t="s">
        <v>515</v>
      </c>
      <c r="C54" s="316">
        <f t="shared" si="8"/>
        <v>7075</v>
      </c>
      <c r="D54" s="316">
        <v>2751</v>
      </c>
      <c r="E54" s="316">
        <v>1575</v>
      </c>
      <c r="F54" s="316">
        <v>2749</v>
      </c>
      <c r="G54" s="316"/>
      <c r="H54" s="316"/>
      <c r="I54" s="316"/>
    </row>
    <row r="55" ht="20.1" customHeight="true" spans="1:9">
      <c r="A55" s="315">
        <v>20504</v>
      </c>
      <c r="B55" s="198" t="s">
        <v>521</v>
      </c>
      <c r="C55" s="316">
        <f t="shared" si="8"/>
        <v>0</v>
      </c>
      <c r="D55" s="316"/>
      <c r="E55" s="316"/>
      <c r="F55" s="316"/>
      <c r="G55" s="316"/>
      <c r="H55" s="316"/>
      <c r="I55" s="316"/>
    </row>
    <row r="56" ht="20.1" customHeight="true" spans="1:9">
      <c r="A56" s="315">
        <v>20505</v>
      </c>
      <c r="B56" s="317" t="s">
        <v>527</v>
      </c>
      <c r="C56" s="316">
        <f t="shared" si="8"/>
        <v>0</v>
      </c>
      <c r="D56" s="316"/>
      <c r="E56" s="316"/>
      <c r="F56" s="316"/>
      <c r="G56" s="316"/>
      <c r="H56" s="316"/>
      <c r="I56" s="316"/>
    </row>
    <row r="57" ht="20.1" customHeight="true" spans="1:9">
      <c r="A57" s="315">
        <v>20506</v>
      </c>
      <c r="B57" s="317" t="s">
        <v>531</v>
      </c>
      <c r="C57" s="316">
        <f t="shared" si="8"/>
        <v>0</v>
      </c>
      <c r="D57" s="316"/>
      <c r="E57" s="316"/>
      <c r="F57" s="316"/>
      <c r="G57" s="316"/>
      <c r="H57" s="316"/>
      <c r="I57" s="316"/>
    </row>
    <row r="58" ht="20.1" customHeight="true" spans="1:9">
      <c r="A58" s="315">
        <v>20507</v>
      </c>
      <c r="B58" s="315" t="s">
        <v>535</v>
      </c>
      <c r="C58" s="316">
        <f t="shared" si="8"/>
        <v>1916</v>
      </c>
      <c r="D58" s="316">
        <v>1895</v>
      </c>
      <c r="E58" s="316">
        <v>0</v>
      </c>
      <c r="F58" s="316">
        <v>21</v>
      </c>
      <c r="G58" s="316"/>
      <c r="H58" s="316"/>
      <c r="I58" s="316"/>
    </row>
    <row r="59" ht="20.1" customHeight="true" spans="1:9">
      <c r="A59" s="315">
        <v>20508</v>
      </c>
      <c r="B59" s="317" t="s">
        <v>539</v>
      </c>
      <c r="C59" s="316">
        <f t="shared" si="8"/>
        <v>1272</v>
      </c>
      <c r="D59" s="316">
        <v>986</v>
      </c>
      <c r="E59" s="316">
        <v>0</v>
      </c>
      <c r="F59" s="316">
        <v>286</v>
      </c>
      <c r="G59" s="316"/>
      <c r="H59" s="316"/>
      <c r="I59" s="316"/>
    </row>
    <row r="60" ht="20.1" customHeight="true" spans="1:9">
      <c r="A60" s="315">
        <v>20509</v>
      </c>
      <c r="B60" s="315" t="s">
        <v>545</v>
      </c>
      <c r="C60" s="316">
        <f t="shared" si="8"/>
        <v>1081</v>
      </c>
      <c r="D60" s="316">
        <v>958</v>
      </c>
      <c r="E60" s="316">
        <v>0</v>
      </c>
      <c r="F60" s="316">
        <v>123</v>
      </c>
      <c r="G60" s="316"/>
      <c r="H60" s="316"/>
      <c r="I60" s="316"/>
    </row>
    <row r="61" ht="20.1" customHeight="true" spans="1:9">
      <c r="A61" s="315">
        <v>20599</v>
      </c>
      <c r="B61" s="315" t="s">
        <v>552</v>
      </c>
      <c r="C61" s="316">
        <f t="shared" si="8"/>
        <v>847</v>
      </c>
      <c r="D61" s="316">
        <v>276</v>
      </c>
      <c r="E61" s="316"/>
      <c r="F61" s="316">
        <v>571</v>
      </c>
      <c r="G61" s="316"/>
      <c r="H61" s="316"/>
      <c r="I61" s="316"/>
    </row>
    <row r="62" s="183" customFormat="true" ht="20.1" customHeight="true" spans="1:9">
      <c r="A62" s="318">
        <v>206</v>
      </c>
      <c r="B62" s="225" t="s">
        <v>1324</v>
      </c>
      <c r="C62" s="219">
        <f t="shared" ref="C62:I62" si="9">SUM(C63:C72)</f>
        <v>3100</v>
      </c>
      <c r="D62" s="219">
        <f t="shared" si="9"/>
        <v>2287</v>
      </c>
      <c r="E62" s="219">
        <f t="shared" si="9"/>
        <v>469</v>
      </c>
      <c r="F62" s="219">
        <f t="shared" si="9"/>
        <v>344</v>
      </c>
      <c r="G62" s="219">
        <f t="shared" si="9"/>
        <v>0</v>
      </c>
      <c r="H62" s="219">
        <f t="shared" si="9"/>
        <v>0</v>
      </c>
      <c r="I62" s="219">
        <f t="shared" si="9"/>
        <v>0</v>
      </c>
    </row>
    <row r="63" ht="20.1" customHeight="true" spans="1:9">
      <c r="A63" s="315">
        <v>20601</v>
      </c>
      <c r="B63" s="317" t="s">
        <v>554</v>
      </c>
      <c r="C63" s="316">
        <f t="shared" ref="C63:C72" si="10">D63+E63+F63+G63+H63+I63</f>
        <v>223</v>
      </c>
      <c r="D63" s="316">
        <v>222</v>
      </c>
      <c r="E63" s="316">
        <v>0</v>
      </c>
      <c r="F63" s="316">
        <v>1</v>
      </c>
      <c r="G63" s="316"/>
      <c r="H63" s="316"/>
      <c r="I63" s="316"/>
    </row>
    <row r="64" ht="20.1" customHeight="true" spans="1:9">
      <c r="A64" s="315">
        <v>20602</v>
      </c>
      <c r="B64" s="315" t="s">
        <v>556</v>
      </c>
      <c r="C64" s="316">
        <f t="shared" si="10"/>
        <v>4</v>
      </c>
      <c r="D64" s="316"/>
      <c r="E64" s="316">
        <v>0</v>
      </c>
      <c r="F64" s="316">
        <v>4</v>
      </c>
      <c r="G64" s="316"/>
      <c r="H64" s="316"/>
      <c r="I64" s="316"/>
    </row>
    <row r="65" ht="20.1" customHeight="true" spans="1:9">
      <c r="A65" s="315">
        <v>20603</v>
      </c>
      <c r="B65" s="317" t="s">
        <v>565</v>
      </c>
      <c r="C65" s="316">
        <f t="shared" si="10"/>
        <v>0</v>
      </c>
      <c r="D65" s="316"/>
      <c r="E65" s="316">
        <v>0</v>
      </c>
      <c r="F65" s="316">
        <v>0</v>
      </c>
      <c r="G65" s="316"/>
      <c r="H65" s="316"/>
      <c r="I65" s="316"/>
    </row>
    <row r="66" ht="20.1" customHeight="true" spans="1:9">
      <c r="A66" s="315">
        <v>20604</v>
      </c>
      <c r="B66" s="317" t="s">
        <v>570</v>
      </c>
      <c r="C66" s="316">
        <f t="shared" si="10"/>
        <v>2268</v>
      </c>
      <c r="D66" s="316">
        <v>1870</v>
      </c>
      <c r="E66" s="316">
        <v>119</v>
      </c>
      <c r="F66" s="316">
        <v>279</v>
      </c>
      <c r="G66" s="316"/>
      <c r="H66" s="316"/>
      <c r="I66" s="316"/>
    </row>
    <row r="67" ht="20.1" customHeight="true" spans="1:9">
      <c r="A67" s="315">
        <v>20605</v>
      </c>
      <c r="B67" s="317" t="s">
        <v>574</v>
      </c>
      <c r="C67" s="316">
        <f t="shared" si="10"/>
        <v>0</v>
      </c>
      <c r="D67" s="316"/>
      <c r="E67" s="316"/>
      <c r="F67" s="316"/>
      <c r="G67" s="316"/>
      <c r="H67" s="316"/>
      <c r="I67" s="316"/>
    </row>
    <row r="68" ht="20.1" customHeight="true" spans="1:9">
      <c r="A68" s="315">
        <v>20606</v>
      </c>
      <c r="B68" s="317" t="s">
        <v>578</v>
      </c>
      <c r="C68" s="316">
        <f t="shared" si="10"/>
        <v>0</v>
      </c>
      <c r="D68" s="316"/>
      <c r="E68" s="316"/>
      <c r="F68" s="316"/>
      <c r="G68" s="316"/>
      <c r="H68" s="316"/>
      <c r="I68" s="316"/>
    </row>
    <row r="69" ht="20.1" customHeight="true" spans="1:9">
      <c r="A69" s="315">
        <v>20607</v>
      </c>
      <c r="B69" s="315" t="s">
        <v>583</v>
      </c>
      <c r="C69" s="316">
        <f t="shared" si="10"/>
        <v>585</v>
      </c>
      <c r="D69" s="316">
        <v>195</v>
      </c>
      <c r="E69" s="316">
        <f>320+30</f>
        <v>350</v>
      </c>
      <c r="F69" s="316">
        <v>40</v>
      </c>
      <c r="G69" s="316"/>
      <c r="H69" s="316"/>
      <c r="I69" s="316"/>
    </row>
    <row r="70" ht="20.1" customHeight="true" spans="1:9">
      <c r="A70" s="315">
        <v>20608</v>
      </c>
      <c r="B70" s="315" t="s">
        <v>590</v>
      </c>
      <c r="C70" s="316">
        <f t="shared" si="10"/>
        <v>0</v>
      </c>
      <c r="D70" s="316"/>
      <c r="E70" s="316"/>
      <c r="F70" s="316"/>
      <c r="G70" s="316"/>
      <c r="H70" s="316"/>
      <c r="I70" s="316"/>
    </row>
    <row r="71" ht="20.1" customHeight="true" spans="1:9">
      <c r="A71" s="315">
        <v>20609</v>
      </c>
      <c r="B71" s="198" t="s">
        <v>594</v>
      </c>
      <c r="C71" s="316">
        <f t="shared" si="10"/>
        <v>0</v>
      </c>
      <c r="D71" s="316"/>
      <c r="E71" s="316"/>
      <c r="F71" s="316"/>
      <c r="G71" s="316"/>
      <c r="H71" s="316"/>
      <c r="I71" s="316"/>
    </row>
    <row r="72" ht="20.1" customHeight="true" spans="1:9">
      <c r="A72" s="315">
        <v>20699</v>
      </c>
      <c r="B72" s="315" t="s">
        <v>598</v>
      </c>
      <c r="C72" s="316">
        <f t="shared" si="10"/>
        <v>20</v>
      </c>
      <c r="D72" s="316"/>
      <c r="E72" s="316">
        <v>0</v>
      </c>
      <c r="F72" s="316">
        <v>20</v>
      </c>
      <c r="G72" s="316"/>
      <c r="H72" s="316"/>
      <c r="I72" s="316"/>
    </row>
    <row r="73" s="183" customFormat="true" ht="20.1" customHeight="true" spans="1:9">
      <c r="A73" s="318">
        <v>207</v>
      </c>
      <c r="B73" s="225" t="s">
        <v>1325</v>
      </c>
      <c r="C73" s="219">
        <f t="shared" ref="C73:I73" si="11">SUM(C74:C79)</f>
        <v>9244</v>
      </c>
      <c r="D73" s="219">
        <f t="shared" si="11"/>
        <v>4185</v>
      </c>
      <c r="E73" s="219">
        <f t="shared" si="11"/>
        <v>2803</v>
      </c>
      <c r="F73" s="219">
        <f t="shared" si="11"/>
        <v>2256</v>
      </c>
      <c r="G73" s="219">
        <f t="shared" si="11"/>
        <v>0</v>
      </c>
      <c r="H73" s="219">
        <f t="shared" si="11"/>
        <v>0</v>
      </c>
      <c r="I73" s="219">
        <f t="shared" si="11"/>
        <v>0</v>
      </c>
    </row>
    <row r="74" ht="20.1" customHeight="true" spans="1:9">
      <c r="A74" s="315">
        <v>20701</v>
      </c>
      <c r="B74" s="198" t="s">
        <v>605</v>
      </c>
      <c r="C74" s="316">
        <f t="shared" ref="C74:C79" si="12">D74+E74+F74+G74+H74+I74</f>
        <v>6310</v>
      </c>
      <c r="D74" s="316">
        <v>1908</v>
      </c>
      <c r="E74" s="316">
        <v>2443</v>
      </c>
      <c r="F74" s="316">
        <v>1959</v>
      </c>
      <c r="G74" s="316"/>
      <c r="H74" s="316"/>
      <c r="I74" s="316"/>
    </row>
    <row r="75" ht="20.1" customHeight="true" spans="1:9">
      <c r="A75" s="315">
        <v>20702</v>
      </c>
      <c r="B75" s="198" t="s">
        <v>621</v>
      </c>
      <c r="C75" s="316">
        <f t="shared" si="12"/>
        <v>228</v>
      </c>
      <c r="D75" s="316"/>
      <c r="E75" s="316">
        <v>210</v>
      </c>
      <c r="F75" s="316">
        <v>18</v>
      </c>
      <c r="G75" s="316"/>
      <c r="H75" s="316"/>
      <c r="I75" s="316"/>
    </row>
    <row r="76" ht="20.1" customHeight="true" spans="1:9">
      <c r="A76" s="315">
        <v>20703</v>
      </c>
      <c r="B76" s="198" t="s">
        <v>626</v>
      </c>
      <c r="C76" s="316">
        <f t="shared" si="12"/>
        <v>169</v>
      </c>
      <c r="D76" s="316">
        <v>97</v>
      </c>
      <c r="E76" s="316">
        <v>0</v>
      </c>
      <c r="F76" s="316">
        <v>72</v>
      </c>
      <c r="G76" s="316"/>
      <c r="H76" s="316"/>
      <c r="I76" s="316"/>
    </row>
    <row r="77" ht="20.1" customHeight="true" spans="1:9">
      <c r="A77" s="315">
        <v>20706</v>
      </c>
      <c r="B77" s="198" t="s">
        <v>634</v>
      </c>
      <c r="C77" s="316">
        <f t="shared" si="12"/>
        <v>196</v>
      </c>
      <c r="D77" s="316">
        <v>190</v>
      </c>
      <c r="E77" s="316">
        <v>0</v>
      </c>
      <c r="F77" s="316">
        <v>6</v>
      </c>
      <c r="G77" s="316"/>
      <c r="H77" s="316"/>
      <c r="I77" s="316"/>
    </row>
    <row r="78" ht="20.1" customHeight="true" spans="1:9">
      <c r="A78" s="315">
        <v>20708</v>
      </c>
      <c r="B78" s="198" t="s">
        <v>640</v>
      </c>
      <c r="C78" s="316">
        <f t="shared" si="12"/>
        <v>2258</v>
      </c>
      <c r="D78" s="316">
        <v>1990</v>
      </c>
      <c r="E78" s="316">
        <v>150</v>
      </c>
      <c r="F78" s="316">
        <v>118</v>
      </c>
      <c r="G78" s="316"/>
      <c r="H78" s="316"/>
      <c r="I78" s="316"/>
    </row>
    <row r="79" ht="20.1" customHeight="true" spans="1:9">
      <c r="A79" s="315">
        <v>20799</v>
      </c>
      <c r="B79" s="198" t="s">
        <v>646</v>
      </c>
      <c r="C79" s="316">
        <f t="shared" si="12"/>
        <v>83</v>
      </c>
      <c r="D79" s="316"/>
      <c r="E79" s="316">
        <v>0</v>
      </c>
      <c r="F79" s="316">
        <v>83</v>
      </c>
      <c r="G79" s="316"/>
      <c r="H79" s="316"/>
      <c r="I79" s="316"/>
    </row>
    <row r="80" s="183" customFormat="true" ht="20.1" customHeight="true" spans="1:9">
      <c r="A80" s="318">
        <v>208</v>
      </c>
      <c r="B80" s="225" t="s">
        <v>1326</v>
      </c>
      <c r="C80" s="219">
        <f t="shared" ref="C80:I80" si="13">SUM(C81:C101)</f>
        <v>54977</v>
      </c>
      <c r="D80" s="219">
        <f t="shared" si="13"/>
        <v>43384</v>
      </c>
      <c r="E80" s="219">
        <f t="shared" si="13"/>
        <v>8968</v>
      </c>
      <c r="F80" s="219">
        <f t="shared" si="13"/>
        <v>2625</v>
      </c>
      <c r="G80" s="219">
        <f t="shared" si="13"/>
        <v>0</v>
      </c>
      <c r="H80" s="219">
        <f t="shared" si="13"/>
        <v>0</v>
      </c>
      <c r="I80" s="219">
        <f t="shared" si="13"/>
        <v>0</v>
      </c>
    </row>
    <row r="81" ht="20.1" customHeight="true" spans="1:9">
      <c r="A81" s="315">
        <v>20801</v>
      </c>
      <c r="B81" s="198" t="s">
        <v>651</v>
      </c>
      <c r="C81" s="316">
        <f t="shared" ref="C81:C101" si="14">D81+E81+F81+G81+H81+I81</f>
        <v>2027</v>
      </c>
      <c r="D81" s="316">
        <v>1669</v>
      </c>
      <c r="E81" s="316">
        <v>0</v>
      </c>
      <c r="F81" s="316">
        <v>358</v>
      </c>
      <c r="G81" s="316"/>
      <c r="H81" s="316"/>
      <c r="I81" s="316"/>
    </row>
    <row r="82" ht="20.1" customHeight="true" spans="1:9">
      <c r="A82" s="315">
        <v>20802</v>
      </c>
      <c r="B82" s="198" t="s">
        <v>665</v>
      </c>
      <c r="C82" s="316">
        <f t="shared" si="14"/>
        <v>289</v>
      </c>
      <c r="D82" s="316">
        <v>273</v>
      </c>
      <c r="E82" s="316">
        <v>0</v>
      </c>
      <c r="F82" s="316">
        <v>16</v>
      </c>
      <c r="G82" s="316"/>
      <c r="H82" s="316"/>
      <c r="I82" s="316"/>
    </row>
    <row r="83" ht="20.1" customHeight="true" spans="1:9">
      <c r="A83" s="315">
        <v>20804</v>
      </c>
      <c r="B83" s="198" t="s">
        <v>670</v>
      </c>
      <c r="C83" s="316">
        <f t="shared" si="14"/>
        <v>0</v>
      </c>
      <c r="D83" s="316"/>
      <c r="E83" s="316">
        <v>0</v>
      </c>
      <c r="F83" s="316">
        <v>0</v>
      </c>
      <c r="G83" s="316"/>
      <c r="H83" s="316"/>
      <c r="I83" s="316"/>
    </row>
    <row r="84" ht="20.1" customHeight="true" spans="1:9">
      <c r="A84" s="315">
        <v>20805</v>
      </c>
      <c r="B84" s="198" t="s">
        <v>672</v>
      </c>
      <c r="C84" s="316">
        <f t="shared" si="14"/>
        <v>36305</v>
      </c>
      <c r="D84" s="316">
        <v>30734</v>
      </c>
      <c r="E84" s="316">
        <v>5571</v>
      </c>
      <c r="F84" s="316">
        <v>0</v>
      </c>
      <c r="G84" s="316"/>
      <c r="H84" s="316"/>
      <c r="I84" s="316"/>
    </row>
    <row r="85" ht="20.1" customHeight="true" spans="1:9">
      <c r="A85" s="315">
        <v>20806</v>
      </c>
      <c r="B85" s="198" t="s">
        <v>682</v>
      </c>
      <c r="C85" s="316">
        <f t="shared" si="14"/>
        <v>0</v>
      </c>
      <c r="D85" s="316"/>
      <c r="E85" s="316">
        <v>0</v>
      </c>
      <c r="F85" s="316">
        <v>0</v>
      </c>
      <c r="G85" s="316"/>
      <c r="H85" s="316"/>
      <c r="I85" s="316"/>
    </row>
    <row r="86" ht="20.1" customHeight="true" spans="1:9">
      <c r="A86" s="315">
        <v>20807</v>
      </c>
      <c r="B86" s="198" t="s">
        <v>686</v>
      </c>
      <c r="C86" s="316">
        <f t="shared" si="14"/>
        <v>5974</v>
      </c>
      <c r="D86" s="316">
        <v>3339</v>
      </c>
      <c r="E86" s="316">
        <v>2332</v>
      </c>
      <c r="F86" s="316">
        <v>303</v>
      </c>
      <c r="G86" s="316"/>
      <c r="H86" s="316"/>
      <c r="I86" s="316"/>
    </row>
    <row r="87" ht="20.1" customHeight="true" spans="1:9">
      <c r="A87" s="315">
        <v>20808</v>
      </c>
      <c r="B87" s="198" t="s">
        <v>697</v>
      </c>
      <c r="C87" s="316">
        <f t="shared" si="14"/>
        <v>0</v>
      </c>
      <c r="D87" s="316"/>
      <c r="E87" s="316">
        <v>0</v>
      </c>
      <c r="F87" s="316">
        <v>0</v>
      </c>
      <c r="G87" s="316"/>
      <c r="H87" s="316"/>
      <c r="I87" s="316"/>
    </row>
    <row r="88" ht="20.1" customHeight="true" spans="1:9">
      <c r="A88" s="315">
        <v>20809</v>
      </c>
      <c r="B88" s="198" t="s">
        <v>706</v>
      </c>
      <c r="C88" s="316">
        <f t="shared" si="14"/>
        <v>975</v>
      </c>
      <c r="D88" s="316">
        <v>119</v>
      </c>
      <c r="E88" s="316">
        <v>813</v>
      </c>
      <c r="F88" s="316">
        <v>43</v>
      </c>
      <c r="G88" s="316"/>
      <c r="H88" s="316"/>
      <c r="I88" s="316"/>
    </row>
    <row r="89" ht="20.1" customHeight="true" spans="1:9">
      <c r="A89" s="315">
        <v>20810</v>
      </c>
      <c r="B89" s="198" t="s">
        <v>715</v>
      </c>
      <c r="C89" s="316">
        <f t="shared" si="14"/>
        <v>519</v>
      </c>
      <c r="D89" s="316">
        <v>500</v>
      </c>
      <c r="E89" s="316">
        <v>0</v>
      </c>
      <c r="F89" s="316">
        <v>19</v>
      </c>
      <c r="G89" s="316"/>
      <c r="H89" s="316"/>
      <c r="I89" s="316"/>
    </row>
    <row r="90" ht="20.1" customHeight="true" spans="1:9">
      <c r="A90" s="315">
        <v>20811</v>
      </c>
      <c r="B90" s="198" t="s">
        <v>723</v>
      </c>
      <c r="C90" s="316">
        <f t="shared" si="14"/>
        <v>605</v>
      </c>
      <c r="D90" s="316">
        <v>314</v>
      </c>
      <c r="E90" s="316">
        <v>252</v>
      </c>
      <c r="F90" s="316">
        <v>39</v>
      </c>
      <c r="G90" s="316"/>
      <c r="H90" s="316"/>
      <c r="I90" s="316"/>
    </row>
    <row r="91" ht="20.1" customHeight="true" spans="1:9">
      <c r="A91" s="315">
        <v>20816</v>
      </c>
      <c r="B91" s="198" t="s">
        <v>729</v>
      </c>
      <c r="C91" s="316">
        <f t="shared" si="14"/>
        <v>88</v>
      </c>
      <c r="D91" s="316">
        <v>88</v>
      </c>
      <c r="E91" s="316">
        <v>0</v>
      </c>
      <c r="F91" s="316">
        <v>0</v>
      </c>
      <c r="G91" s="316"/>
      <c r="H91" s="316"/>
      <c r="I91" s="316"/>
    </row>
    <row r="92" ht="20.1" customHeight="true" spans="1:9">
      <c r="A92" s="315">
        <v>20819</v>
      </c>
      <c r="B92" s="198" t="s">
        <v>731</v>
      </c>
      <c r="C92" s="316">
        <f t="shared" si="14"/>
        <v>0</v>
      </c>
      <c r="D92" s="316"/>
      <c r="E92" s="316">
        <v>0</v>
      </c>
      <c r="F92" s="316">
        <v>0</v>
      </c>
      <c r="G92" s="316"/>
      <c r="H92" s="316"/>
      <c r="I92" s="316"/>
    </row>
    <row r="93" ht="20.1" customHeight="true" spans="1:9">
      <c r="A93" s="315">
        <v>20820</v>
      </c>
      <c r="B93" s="198" t="s">
        <v>734</v>
      </c>
      <c r="C93" s="316">
        <f t="shared" si="14"/>
        <v>275</v>
      </c>
      <c r="D93" s="316">
        <v>232</v>
      </c>
      <c r="E93" s="316">
        <v>0</v>
      </c>
      <c r="F93" s="316">
        <v>43</v>
      </c>
      <c r="G93" s="316"/>
      <c r="H93" s="316"/>
      <c r="I93" s="316"/>
    </row>
    <row r="94" ht="20.1" customHeight="true" spans="1:9">
      <c r="A94" s="315">
        <v>20821</v>
      </c>
      <c r="B94" s="198" t="s">
        <v>737</v>
      </c>
      <c r="C94" s="316">
        <f t="shared" si="14"/>
        <v>0</v>
      </c>
      <c r="D94" s="316"/>
      <c r="E94" s="316"/>
      <c r="F94" s="316"/>
      <c r="G94" s="316"/>
      <c r="H94" s="316"/>
      <c r="I94" s="316"/>
    </row>
    <row r="95" ht="20.1" customHeight="true" spans="1:9">
      <c r="A95" s="315">
        <v>20824</v>
      </c>
      <c r="B95" s="198" t="s">
        <v>740</v>
      </c>
      <c r="C95" s="316">
        <f t="shared" si="14"/>
        <v>0</v>
      </c>
      <c r="D95" s="316"/>
      <c r="E95" s="316"/>
      <c r="F95" s="316"/>
      <c r="G95" s="316"/>
      <c r="H95" s="316"/>
      <c r="I95" s="316"/>
    </row>
    <row r="96" ht="20.1" customHeight="true" spans="1:9">
      <c r="A96" s="315">
        <v>20825</v>
      </c>
      <c r="B96" s="198" t="s">
        <v>743</v>
      </c>
      <c r="C96" s="316">
        <f t="shared" si="14"/>
        <v>0</v>
      </c>
      <c r="D96" s="316"/>
      <c r="E96" s="316"/>
      <c r="F96" s="316"/>
      <c r="G96" s="316"/>
      <c r="H96" s="316"/>
      <c r="I96" s="316"/>
    </row>
    <row r="97" ht="20.1" customHeight="true" spans="1:9">
      <c r="A97" s="315">
        <v>20826</v>
      </c>
      <c r="B97" s="198" t="s">
        <v>746</v>
      </c>
      <c r="C97" s="316">
        <f t="shared" si="14"/>
        <v>0</v>
      </c>
      <c r="D97" s="316"/>
      <c r="E97" s="316"/>
      <c r="F97" s="316"/>
      <c r="G97" s="316"/>
      <c r="H97" s="316"/>
      <c r="I97" s="316"/>
    </row>
    <row r="98" ht="20.1" customHeight="true" spans="1:9">
      <c r="A98" s="315">
        <v>20827</v>
      </c>
      <c r="B98" s="198" t="s">
        <v>750</v>
      </c>
      <c r="C98" s="316">
        <f t="shared" si="14"/>
        <v>200</v>
      </c>
      <c r="D98" s="316">
        <v>200</v>
      </c>
      <c r="E98" s="316"/>
      <c r="F98" s="316"/>
      <c r="G98" s="316"/>
      <c r="H98" s="316"/>
      <c r="I98" s="316"/>
    </row>
    <row r="99" ht="20.1" customHeight="true" spans="1:9">
      <c r="A99" s="315">
        <v>20828</v>
      </c>
      <c r="B99" s="196" t="s">
        <v>754</v>
      </c>
      <c r="C99" s="316">
        <f t="shared" si="14"/>
        <v>596</v>
      </c>
      <c r="D99" s="316">
        <v>596</v>
      </c>
      <c r="E99" s="316"/>
      <c r="F99" s="316"/>
      <c r="G99" s="316"/>
      <c r="H99" s="316"/>
      <c r="I99" s="316"/>
    </row>
    <row r="100" ht="20.1" customHeight="true" spans="1:9">
      <c r="A100" s="315">
        <v>20830</v>
      </c>
      <c r="B100" s="198" t="s">
        <v>758</v>
      </c>
      <c r="C100" s="316">
        <f t="shared" si="14"/>
        <v>0</v>
      </c>
      <c r="D100" s="316"/>
      <c r="E100" s="316"/>
      <c r="F100" s="316"/>
      <c r="G100" s="316"/>
      <c r="H100" s="316"/>
      <c r="I100" s="316"/>
    </row>
    <row r="101" ht="20.1" customHeight="true" spans="1:9">
      <c r="A101" s="315">
        <v>20899</v>
      </c>
      <c r="B101" s="198" t="s">
        <v>761</v>
      </c>
      <c r="C101" s="316">
        <f t="shared" si="14"/>
        <v>7124</v>
      </c>
      <c r="D101" s="316">
        <v>5320</v>
      </c>
      <c r="E101" s="316"/>
      <c r="F101" s="316">
        <v>1804</v>
      </c>
      <c r="G101" s="316"/>
      <c r="H101" s="316"/>
      <c r="I101" s="316"/>
    </row>
    <row r="102" s="183" customFormat="true" ht="20.1" customHeight="true" spans="1:9">
      <c r="A102" s="318">
        <v>210</v>
      </c>
      <c r="B102" s="225" t="s">
        <v>1327</v>
      </c>
      <c r="C102" s="219">
        <f t="shared" ref="C102:I102" si="15">SUM(C103:C115)</f>
        <v>117764</v>
      </c>
      <c r="D102" s="219">
        <f t="shared" si="15"/>
        <v>19108</v>
      </c>
      <c r="E102" s="219">
        <f t="shared" si="15"/>
        <v>89578</v>
      </c>
      <c r="F102" s="219">
        <f t="shared" si="15"/>
        <v>9078</v>
      </c>
      <c r="G102" s="219">
        <f t="shared" si="15"/>
        <v>0</v>
      </c>
      <c r="H102" s="219">
        <f t="shared" si="15"/>
        <v>0</v>
      </c>
      <c r="I102" s="219">
        <f t="shared" si="15"/>
        <v>0</v>
      </c>
    </row>
    <row r="103" ht="20.1" customHeight="true" spans="1:9">
      <c r="A103" s="315">
        <v>21001</v>
      </c>
      <c r="B103" s="198" t="s">
        <v>763</v>
      </c>
      <c r="C103" s="316">
        <f t="shared" ref="C103:C115" si="16">D103+E103+F103+G103+H103+I103</f>
        <v>488</v>
      </c>
      <c r="D103" s="316">
        <v>460</v>
      </c>
      <c r="E103" s="316">
        <v>0</v>
      </c>
      <c r="F103" s="316">
        <v>28</v>
      </c>
      <c r="G103" s="316"/>
      <c r="H103" s="316"/>
      <c r="I103" s="316"/>
    </row>
    <row r="104" ht="20.1" customHeight="true" spans="1:9">
      <c r="A104" s="315">
        <v>21002</v>
      </c>
      <c r="B104" s="198" t="s">
        <v>765</v>
      </c>
      <c r="C104" s="316">
        <f t="shared" si="16"/>
        <v>8856</v>
      </c>
      <c r="D104" s="316">
        <v>8239</v>
      </c>
      <c r="E104" s="316">
        <v>290</v>
      </c>
      <c r="F104" s="316">
        <v>327</v>
      </c>
      <c r="G104" s="316"/>
      <c r="H104" s="316"/>
      <c r="I104" s="316"/>
    </row>
    <row r="105" ht="20.1" customHeight="true" spans="1:9">
      <c r="A105" s="315">
        <v>21003</v>
      </c>
      <c r="B105" s="198" t="s">
        <v>780</v>
      </c>
      <c r="C105" s="316">
        <f t="shared" si="16"/>
        <v>78</v>
      </c>
      <c r="D105" s="316">
        <v>76</v>
      </c>
      <c r="E105" s="316">
        <v>0</v>
      </c>
      <c r="F105" s="316">
        <v>2</v>
      </c>
      <c r="G105" s="316"/>
      <c r="H105" s="316"/>
      <c r="I105" s="316"/>
    </row>
    <row r="106" ht="20.1" customHeight="true" spans="1:9">
      <c r="A106" s="315">
        <v>21004</v>
      </c>
      <c r="B106" s="198" t="s">
        <v>784</v>
      </c>
      <c r="C106" s="316">
        <f t="shared" si="16"/>
        <v>4175</v>
      </c>
      <c r="D106" s="316">
        <v>3346</v>
      </c>
      <c r="E106" s="316">
        <v>283</v>
      </c>
      <c r="F106" s="316">
        <v>546</v>
      </c>
      <c r="G106" s="316"/>
      <c r="H106" s="316"/>
      <c r="I106" s="316"/>
    </row>
    <row r="107" ht="20.1" customHeight="true" spans="1:9">
      <c r="A107" s="315">
        <v>21006</v>
      </c>
      <c r="B107" s="198" t="s">
        <v>797</v>
      </c>
      <c r="C107" s="316">
        <f t="shared" si="16"/>
        <v>3</v>
      </c>
      <c r="D107" s="316"/>
      <c r="E107" s="316">
        <v>0</v>
      </c>
      <c r="F107" s="316">
        <v>3</v>
      </c>
      <c r="G107" s="316"/>
      <c r="H107" s="316"/>
      <c r="I107" s="316"/>
    </row>
    <row r="108" ht="20.1" customHeight="true" spans="1:9">
      <c r="A108" s="315">
        <v>21007</v>
      </c>
      <c r="B108" s="198" t="s">
        <v>800</v>
      </c>
      <c r="C108" s="316">
        <f t="shared" si="16"/>
        <v>174</v>
      </c>
      <c r="D108" s="316">
        <v>174</v>
      </c>
      <c r="E108" s="316">
        <v>0</v>
      </c>
      <c r="F108" s="316">
        <v>0</v>
      </c>
      <c r="G108" s="316"/>
      <c r="H108" s="316"/>
      <c r="I108" s="316"/>
    </row>
    <row r="109" ht="20.1" customHeight="true" spans="1:9">
      <c r="A109" s="315">
        <v>21011</v>
      </c>
      <c r="B109" s="198" t="s">
        <v>804</v>
      </c>
      <c r="C109" s="316">
        <f t="shared" si="16"/>
        <v>5861</v>
      </c>
      <c r="D109" s="316">
        <v>5589</v>
      </c>
      <c r="E109" s="316">
        <v>0</v>
      </c>
      <c r="F109" s="316">
        <v>272</v>
      </c>
      <c r="G109" s="316"/>
      <c r="H109" s="316"/>
      <c r="I109" s="316"/>
    </row>
    <row r="110" ht="20.1" customHeight="true" spans="1:9">
      <c r="A110" s="315">
        <v>21012</v>
      </c>
      <c r="B110" s="198" t="s">
        <v>809</v>
      </c>
      <c r="C110" s="316">
        <f t="shared" si="16"/>
        <v>68658</v>
      </c>
      <c r="D110" s="316"/>
      <c r="E110" s="316">
        <v>68643</v>
      </c>
      <c r="F110" s="316">
        <v>15</v>
      </c>
      <c r="G110" s="316"/>
      <c r="H110" s="316"/>
      <c r="I110" s="316"/>
    </row>
    <row r="111" ht="20.1" customHeight="true" spans="1:9">
      <c r="A111" s="315">
        <v>21013</v>
      </c>
      <c r="B111" s="198" t="s">
        <v>813</v>
      </c>
      <c r="C111" s="316">
        <f t="shared" si="16"/>
        <v>20362</v>
      </c>
      <c r="D111" s="316"/>
      <c r="E111" s="316">
        <v>20362</v>
      </c>
      <c r="F111" s="316">
        <v>0</v>
      </c>
      <c r="G111" s="316"/>
      <c r="H111" s="316"/>
      <c r="I111" s="316"/>
    </row>
    <row r="112" ht="20.1" customHeight="true" spans="1:9">
      <c r="A112" s="315">
        <v>21014</v>
      </c>
      <c r="B112" s="198" t="s">
        <v>817</v>
      </c>
      <c r="C112" s="316">
        <f t="shared" si="16"/>
        <v>0</v>
      </c>
      <c r="D112" s="316"/>
      <c r="E112" s="316">
        <v>0</v>
      </c>
      <c r="F112" s="316">
        <v>0</v>
      </c>
      <c r="G112" s="316"/>
      <c r="H112" s="316"/>
      <c r="I112" s="316"/>
    </row>
    <row r="113" ht="20.1" customHeight="true" spans="1:9">
      <c r="A113" s="315">
        <v>21015</v>
      </c>
      <c r="B113" s="198" t="s">
        <v>820</v>
      </c>
      <c r="C113" s="316">
        <f t="shared" si="16"/>
        <v>1314</v>
      </c>
      <c r="D113" s="316">
        <v>524</v>
      </c>
      <c r="E113" s="316">
        <v>0</v>
      </c>
      <c r="F113" s="316">
        <v>790</v>
      </c>
      <c r="G113" s="316"/>
      <c r="H113" s="316"/>
      <c r="I113" s="316"/>
    </row>
    <row r="114" ht="20.1" customHeight="true" spans="1:9">
      <c r="A114" s="315">
        <v>21016</v>
      </c>
      <c r="B114" s="198" t="s">
        <v>824</v>
      </c>
      <c r="C114" s="316">
        <f t="shared" si="16"/>
        <v>0</v>
      </c>
      <c r="D114" s="316"/>
      <c r="E114" s="316"/>
      <c r="F114" s="316"/>
      <c r="G114" s="316"/>
      <c r="H114" s="316"/>
      <c r="I114" s="316"/>
    </row>
    <row r="115" ht="20.1" customHeight="true" spans="1:9">
      <c r="A115" s="315">
        <v>21099</v>
      </c>
      <c r="B115" s="198" t="s">
        <v>825</v>
      </c>
      <c r="C115" s="316">
        <f t="shared" si="16"/>
        <v>7795</v>
      </c>
      <c r="D115" s="316">
        <v>700</v>
      </c>
      <c r="E115" s="316"/>
      <c r="F115" s="316">
        <v>7095</v>
      </c>
      <c r="G115" s="316"/>
      <c r="H115" s="316"/>
      <c r="I115" s="316"/>
    </row>
    <row r="116" s="183" customFormat="true" ht="20.1" customHeight="true" spans="1:9">
      <c r="A116" s="318">
        <v>211</v>
      </c>
      <c r="B116" s="225" t="s">
        <v>1328</v>
      </c>
      <c r="C116" s="219">
        <f t="shared" ref="C116:I116" si="17">SUM(C117:C131)</f>
        <v>20477</v>
      </c>
      <c r="D116" s="219">
        <f t="shared" si="17"/>
        <v>4422</v>
      </c>
      <c r="E116" s="219">
        <f t="shared" si="17"/>
        <v>3371</v>
      </c>
      <c r="F116" s="219">
        <f t="shared" si="17"/>
        <v>12684</v>
      </c>
      <c r="G116" s="219">
        <f t="shared" si="17"/>
        <v>0</v>
      </c>
      <c r="H116" s="219">
        <f t="shared" si="17"/>
        <v>0</v>
      </c>
      <c r="I116" s="219">
        <f t="shared" si="17"/>
        <v>0</v>
      </c>
    </row>
    <row r="117" ht="20.1" customHeight="true" spans="1:9">
      <c r="A117" s="315">
        <v>21101</v>
      </c>
      <c r="B117" s="198" t="s">
        <v>827</v>
      </c>
      <c r="C117" s="316">
        <f t="shared" ref="C117:C131" si="18">D117+E117+F117+G117+H117+I117</f>
        <v>1804</v>
      </c>
      <c r="D117" s="316">
        <v>1652</v>
      </c>
      <c r="E117" s="316">
        <v>0</v>
      </c>
      <c r="F117" s="316">
        <v>152</v>
      </c>
      <c r="G117" s="316"/>
      <c r="H117" s="316"/>
      <c r="I117" s="316"/>
    </row>
    <row r="118" ht="20.1" customHeight="true" spans="1:9">
      <c r="A118" s="315">
        <v>21102</v>
      </c>
      <c r="B118" s="198" t="s">
        <v>834</v>
      </c>
      <c r="C118" s="316">
        <f t="shared" si="18"/>
        <v>0</v>
      </c>
      <c r="D118" s="316"/>
      <c r="E118" s="316">
        <v>0</v>
      </c>
      <c r="F118" s="316">
        <v>0</v>
      </c>
      <c r="G118" s="316"/>
      <c r="H118" s="316"/>
      <c r="I118" s="316"/>
    </row>
    <row r="119" ht="20.1" customHeight="true" spans="1:9">
      <c r="A119" s="315">
        <v>21103</v>
      </c>
      <c r="B119" s="198" t="s">
        <v>838</v>
      </c>
      <c r="C119" s="316">
        <f t="shared" si="18"/>
        <v>10004</v>
      </c>
      <c r="D119" s="316"/>
      <c r="E119" s="316">
        <v>0</v>
      </c>
      <c r="F119" s="316">
        <v>10004</v>
      </c>
      <c r="G119" s="316"/>
      <c r="H119" s="316"/>
      <c r="I119" s="316"/>
    </row>
    <row r="120" ht="20.1" customHeight="true" spans="1:9">
      <c r="A120" s="315">
        <v>21104</v>
      </c>
      <c r="B120" s="198" t="s">
        <v>847</v>
      </c>
      <c r="C120" s="316">
        <f t="shared" si="18"/>
        <v>2899</v>
      </c>
      <c r="D120" s="316"/>
      <c r="E120" s="316">
        <v>1435</v>
      </c>
      <c r="F120" s="316">
        <v>1464</v>
      </c>
      <c r="G120" s="316"/>
      <c r="H120" s="316"/>
      <c r="I120" s="316"/>
    </row>
    <row r="121" ht="20.1" customHeight="true" spans="1:9">
      <c r="A121" s="315">
        <v>21105</v>
      </c>
      <c r="B121" s="198" t="s">
        <v>856</v>
      </c>
      <c r="C121" s="316">
        <f t="shared" si="18"/>
        <v>2209</v>
      </c>
      <c r="D121" s="316"/>
      <c r="E121" s="316">
        <v>1936</v>
      </c>
      <c r="F121" s="316">
        <v>273</v>
      </c>
      <c r="G121" s="316"/>
      <c r="H121" s="316"/>
      <c r="I121" s="316"/>
    </row>
    <row r="122" ht="20.1" customHeight="true" spans="1:9">
      <c r="A122" s="315">
        <v>21106</v>
      </c>
      <c r="B122" s="198" t="s">
        <v>863</v>
      </c>
      <c r="C122" s="316">
        <f t="shared" si="18"/>
        <v>0</v>
      </c>
      <c r="D122" s="316"/>
      <c r="E122" s="316">
        <v>0</v>
      </c>
      <c r="F122" s="316">
        <v>0</v>
      </c>
      <c r="G122" s="316"/>
      <c r="H122" s="316"/>
      <c r="I122" s="316"/>
    </row>
    <row r="123" ht="20.1" customHeight="true" spans="1:9">
      <c r="A123" s="315">
        <v>21107</v>
      </c>
      <c r="B123" s="198" t="s">
        <v>869</v>
      </c>
      <c r="C123" s="316">
        <f t="shared" si="18"/>
        <v>0</v>
      </c>
      <c r="D123" s="316"/>
      <c r="E123" s="316">
        <v>0</v>
      </c>
      <c r="F123" s="316">
        <v>0</v>
      </c>
      <c r="G123" s="316"/>
      <c r="H123" s="316"/>
      <c r="I123" s="316"/>
    </row>
    <row r="124" ht="20.1" customHeight="true" spans="1:9">
      <c r="A124" s="315">
        <v>21108</v>
      </c>
      <c r="B124" s="198" t="s">
        <v>872</v>
      </c>
      <c r="C124" s="316">
        <f t="shared" si="18"/>
        <v>0</v>
      </c>
      <c r="D124" s="316"/>
      <c r="E124" s="316">
        <v>0</v>
      </c>
      <c r="F124" s="316">
        <v>0</v>
      </c>
      <c r="G124" s="316"/>
      <c r="H124" s="316"/>
      <c r="I124" s="316"/>
    </row>
    <row r="125" ht="20.1" customHeight="true" spans="1:9">
      <c r="A125" s="315">
        <v>21109</v>
      </c>
      <c r="B125" s="198" t="s">
        <v>875</v>
      </c>
      <c r="C125" s="316">
        <f t="shared" si="18"/>
        <v>0</v>
      </c>
      <c r="D125" s="316"/>
      <c r="E125" s="316"/>
      <c r="F125" s="316"/>
      <c r="G125" s="316"/>
      <c r="H125" s="316"/>
      <c r="I125" s="316"/>
    </row>
    <row r="126" ht="20.1" customHeight="true" spans="1:9">
      <c r="A126" s="315">
        <v>21110</v>
      </c>
      <c r="B126" s="198" t="s">
        <v>876</v>
      </c>
      <c r="C126" s="316">
        <f t="shared" si="18"/>
        <v>4</v>
      </c>
      <c r="D126" s="316"/>
      <c r="E126" s="316"/>
      <c r="F126" s="316">
        <v>4</v>
      </c>
      <c r="G126" s="316"/>
      <c r="H126" s="316"/>
      <c r="I126" s="316"/>
    </row>
    <row r="127" ht="20.1" customHeight="true" spans="1:9">
      <c r="A127" s="315">
        <v>21111</v>
      </c>
      <c r="B127" s="198" t="s">
        <v>877</v>
      </c>
      <c r="C127" s="316">
        <f t="shared" si="18"/>
        <v>770</v>
      </c>
      <c r="D127" s="316">
        <v>770</v>
      </c>
      <c r="E127" s="316"/>
      <c r="F127" s="316"/>
      <c r="G127" s="316"/>
      <c r="H127" s="316"/>
      <c r="I127" s="316"/>
    </row>
    <row r="128" ht="20.1" customHeight="true" spans="1:9">
      <c r="A128" s="315">
        <v>21112</v>
      </c>
      <c r="B128" s="198" t="s">
        <v>883</v>
      </c>
      <c r="C128" s="316">
        <f t="shared" si="18"/>
        <v>0</v>
      </c>
      <c r="D128" s="316"/>
      <c r="E128" s="316"/>
      <c r="F128" s="316"/>
      <c r="G128" s="316"/>
      <c r="H128" s="316"/>
      <c r="I128" s="316"/>
    </row>
    <row r="129" ht="20.1" customHeight="true" spans="1:9">
      <c r="A129" s="315">
        <v>21113</v>
      </c>
      <c r="B129" s="198" t="s">
        <v>884</v>
      </c>
      <c r="C129" s="316">
        <f t="shared" si="18"/>
        <v>0</v>
      </c>
      <c r="D129" s="316"/>
      <c r="E129" s="316"/>
      <c r="F129" s="316"/>
      <c r="G129" s="316"/>
      <c r="H129" s="316"/>
      <c r="I129" s="316"/>
    </row>
    <row r="130" ht="20.1" customHeight="true" spans="1:9">
      <c r="A130" s="315">
        <v>21114</v>
      </c>
      <c r="B130" s="198" t="s">
        <v>885</v>
      </c>
      <c r="C130" s="316">
        <f t="shared" si="18"/>
        <v>0</v>
      </c>
      <c r="D130" s="316"/>
      <c r="E130" s="316"/>
      <c r="F130" s="316"/>
      <c r="G130" s="316"/>
      <c r="H130" s="316"/>
      <c r="I130" s="316"/>
    </row>
    <row r="131" ht="20.1" customHeight="true" spans="1:9">
      <c r="A131" s="315">
        <v>21199</v>
      </c>
      <c r="B131" s="198" t="s">
        <v>891</v>
      </c>
      <c r="C131" s="316">
        <f t="shared" si="18"/>
        <v>2787</v>
      </c>
      <c r="D131" s="316">
        <v>2000</v>
      </c>
      <c r="E131" s="316"/>
      <c r="F131" s="316">
        <v>787</v>
      </c>
      <c r="G131" s="316"/>
      <c r="H131" s="316"/>
      <c r="I131" s="316"/>
    </row>
    <row r="132" s="183" customFormat="true" ht="20.1" customHeight="true" spans="1:9">
      <c r="A132" s="318">
        <v>212</v>
      </c>
      <c r="B132" s="225" t="s">
        <v>1329</v>
      </c>
      <c r="C132" s="219">
        <f t="shared" ref="C132:I132" si="19">SUM(C133:C138)</f>
        <v>7722</v>
      </c>
      <c r="D132" s="219">
        <f t="shared" si="19"/>
        <v>6559</v>
      </c>
      <c r="E132" s="219">
        <f t="shared" si="19"/>
        <v>0</v>
      </c>
      <c r="F132" s="219">
        <f t="shared" si="19"/>
        <v>1163</v>
      </c>
      <c r="G132" s="219">
        <f t="shared" si="19"/>
        <v>0</v>
      </c>
      <c r="H132" s="219">
        <f t="shared" si="19"/>
        <v>0</v>
      </c>
      <c r="I132" s="219">
        <f t="shared" si="19"/>
        <v>0</v>
      </c>
    </row>
    <row r="133" ht="20.1" customHeight="true" spans="1:9">
      <c r="A133" s="315">
        <v>21201</v>
      </c>
      <c r="B133" s="198" t="s">
        <v>893</v>
      </c>
      <c r="C133" s="316">
        <f t="shared" ref="C133:C138" si="20">D133+E133+F133+G133+H133+I133</f>
        <v>1904</v>
      </c>
      <c r="D133" s="316">
        <v>1710</v>
      </c>
      <c r="E133" s="316">
        <v>0</v>
      </c>
      <c r="F133" s="316">
        <v>194</v>
      </c>
      <c r="G133" s="316"/>
      <c r="H133" s="316"/>
      <c r="I133" s="316"/>
    </row>
    <row r="134" ht="20.1" customHeight="true" spans="1:9">
      <c r="A134" s="315">
        <v>21202</v>
      </c>
      <c r="B134" s="198" t="s">
        <v>901</v>
      </c>
      <c r="C134" s="316">
        <f t="shared" si="20"/>
        <v>0</v>
      </c>
      <c r="D134" s="316"/>
      <c r="E134" s="316"/>
      <c r="F134" s="316"/>
      <c r="G134" s="316"/>
      <c r="H134" s="316"/>
      <c r="I134" s="316"/>
    </row>
    <row r="135" ht="20.1" customHeight="true" spans="1:9">
      <c r="A135" s="315">
        <v>21203</v>
      </c>
      <c r="B135" s="198" t="s">
        <v>902</v>
      </c>
      <c r="C135" s="316">
        <f t="shared" si="20"/>
        <v>1582</v>
      </c>
      <c r="D135" s="316">
        <v>1365</v>
      </c>
      <c r="E135" s="316">
        <v>0</v>
      </c>
      <c r="F135" s="316">
        <v>217</v>
      </c>
      <c r="G135" s="316"/>
      <c r="H135" s="316"/>
      <c r="I135" s="316"/>
    </row>
    <row r="136" ht="20.1" customHeight="true" spans="1:9">
      <c r="A136" s="315">
        <v>21205</v>
      </c>
      <c r="B136" s="198" t="s">
        <v>905</v>
      </c>
      <c r="C136" s="316">
        <f t="shared" si="20"/>
        <v>1871</v>
      </c>
      <c r="D136" s="316">
        <v>1684</v>
      </c>
      <c r="E136" s="316"/>
      <c r="F136" s="316">
        <v>187</v>
      </c>
      <c r="G136" s="316"/>
      <c r="H136" s="316"/>
      <c r="I136" s="316"/>
    </row>
    <row r="137" ht="20.1" customHeight="true" spans="1:9">
      <c r="A137" s="315">
        <v>21206</v>
      </c>
      <c r="B137" s="198" t="s">
        <v>906</v>
      </c>
      <c r="C137" s="316">
        <f t="shared" si="20"/>
        <v>0</v>
      </c>
      <c r="D137" s="316"/>
      <c r="E137" s="316"/>
      <c r="F137" s="316"/>
      <c r="G137" s="316"/>
      <c r="H137" s="316"/>
      <c r="I137" s="316"/>
    </row>
    <row r="138" ht="20.1" customHeight="true" spans="1:9">
      <c r="A138" s="196">
        <v>21299</v>
      </c>
      <c r="B138" s="198" t="s">
        <v>907</v>
      </c>
      <c r="C138" s="316">
        <f t="shared" si="20"/>
        <v>2365</v>
      </c>
      <c r="D138" s="316">
        <v>1800</v>
      </c>
      <c r="E138" s="316"/>
      <c r="F138" s="316">
        <v>565</v>
      </c>
      <c r="G138" s="316"/>
      <c r="H138" s="316"/>
      <c r="I138" s="316"/>
    </row>
    <row r="139" s="183" customFormat="true" ht="20.1" customHeight="true" spans="1:9">
      <c r="A139" s="318">
        <v>213</v>
      </c>
      <c r="B139" s="225" t="s">
        <v>1330</v>
      </c>
      <c r="C139" s="219">
        <f t="shared" ref="C139:I139" si="21">SUM(C140:C147)</f>
        <v>37305</v>
      </c>
      <c r="D139" s="219">
        <f t="shared" si="21"/>
        <v>11982</v>
      </c>
      <c r="E139" s="219">
        <f t="shared" si="21"/>
        <v>3498</v>
      </c>
      <c r="F139" s="219">
        <f t="shared" si="21"/>
        <v>21825</v>
      </c>
      <c r="G139" s="219">
        <f t="shared" si="21"/>
        <v>0</v>
      </c>
      <c r="H139" s="219">
        <f t="shared" si="21"/>
        <v>0</v>
      </c>
      <c r="I139" s="219">
        <f t="shared" si="21"/>
        <v>0</v>
      </c>
    </row>
    <row r="140" ht="20.1" customHeight="true" spans="1:9">
      <c r="A140" s="315">
        <v>21301</v>
      </c>
      <c r="B140" s="198" t="s">
        <v>909</v>
      </c>
      <c r="C140" s="316">
        <f t="shared" ref="C140:C147" si="22">D140+E140+F140+G140+H140+I140</f>
        <v>6025</v>
      </c>
      <c r="D140" s="316">
        <v>1822</v>
      </c>
      <c r="E140" s="316">
        <v>2083</v>
      </c>
      <c r="F140" s="316">
        <v>2120</v>
      </c>
      <c r="G140" s="316"/>
      <c r="H140" s="316"/>
      <c r="I140" s="316"/>
    </row>
    <row r="141" ht="20.1" customHeight="true" spans="1:9">
      <c r="A141" s="315">
        <v>21302</v>
      </c>
      <c r="B141" s="198" t="s">
        <v>932</v>
      </c>
      <c r="C141" s="316">
        <f t="shared" si="22"/>
        <v>10208</v>
      </c>
      <c r="D141" s="316">
        <v>8981</v>
      </c>
      <c r="E141" s="316">
        <v>175</v>
      </c>
      <c r="F141" s="316">
        <v>1052</v>
      </c>
      <c r="G141" s="316"/>
      <c r="H141" s="316"/>
      <c r="I141" s="316"/>
    </row>
    <row r="142" ht="20.1" customHeight="true" spans="1:9">
      <c r="A142" s="315">
        <v>21303</v>
      </c>
      <c r="B142" s="198" t="s">
        <v>951</v>
      </c>
      <c r="C142" s="316">
        <f t="shared" si="22"/>
        <v>946</v>
      </c>
      <c r="D142" s="316">
        <v>758</v>
      </c>
      <c r="E142" s="316">
        <v>0</v>
      </c>
      <c r="F142" s="316">
        <v>188</v>
      </c>
      <c r="G142" s="316"/>
      <c r="H142" s="316"/>
      <c r="I142" s="316"/>
    </row>
    <row r="143" ht="20.1" customHeight="true" spans="1:9">
      <c r="A143" s="315">
        <v>21305</v>
      </c>
      <c r="B143" s="198" t="s">
        <v>1331</v>
      </c>
      <c r="C143" s="316">
        <f t="shared" si="22"/>
        <v>321</v>
      </c>
      <c r="D143" s="316">
        <v>321</v>
      </c>
      <c r="E143" s="316">
        <v>0</v>
      </c>
      <c r="F143" s="316">
        <v>0</v>
      </c>
      <c r="G143" s="316"/>
      <c r="H143" s="316"/>
      <c r="I143" s="316"/>
    </row>
    <row r="144" ht="20.1" customHeight="true" spans="1:9">
      <c r="A144" s="315">
        <v>21307</v>
      </c>
      <c r="B144" s="198" t="s">
        <v>982</v>
      </c>
      <c r="C144" s="316">
        <f t="shared" si="22"/>
        <v>0</v>
      </c>
      <c r="D144" s="316"/>
      <c r="E144" s="316">
        <v>0</v>
      </c>
      <c r="F144" s="316">
        <v>0</v>
      </c>
      <c r="G144" s="316"/>
      <c r="H144" s="316"/>
      <c r="I144" s="316"/>
    </row>
    <row r="145" ht="20.1" customHeight="true" spans="1:9">
      <c r="A145" s="315">
        <v>21308</v>
      </c>
      <c r="B145" s="198" t="s">
        <v>989</v>
      </c>
      <c r="C145" s="316">
        <f t="shared" si="22"/>
        <v>1798</v>
      </c>
      <c r="D145" s="316">
        <v>100</v>
      </c>
      <c r="E145" s="316">
        <f>115+1125</f>
        <v>1240</v>
      </c>
      <c r="F145" s="316">
        <v>458</v>
      </c>
      <c r="G145" s="316"/>
      <c r="H145" s="316"/>
      <c r="I145" s="316"/>
    </row>
    <row r="146" ht="20.1" customHeight="true" spans="1:9">
      <c r="A146" s="315">
        <v>21309</v>
      </c>
      <c r="B146" s="198" t="s">
        <v>996</v>
      </c>
      <c r="C146" s="316">
        <f t="shared" si="22"/>
        <v>0</v>
      </c>
      <c r="D146" s="316"/>
      <c r="E146" s="316">
        <v>0</v>
      </c>
      <c r="F146" s="316">
        <v>0</v>
      </c>
      <c r="G146" s="316"/>
      <c r="H146" s="316"/>
      <c r="I146" s="316"/>
    </row>
    <row r="147" ht="19" customHeight="true" spans="1:9">
      <c r="A147" s="315">
        <v>21399</v>
      </c>
      <c r="B147" s="198" t="s">
        <v>999</v>
      </c>
      <c r="C147" s="316">
        <f t="shared" si="22"/>
        <v>18007</v>
      </c>
      <c r="D147" s="316"/>
      <c r="E147" s="316">
        <v>0</v>
      </c>
      <c r="F147" s="316">
        <v>18007</v>
      </c>
      <c r="G147" s="316"/>
      <c r="H147" s="316"/>
      <c r="I147" s="316"/>
    </row>
    <row r="148" s="183" customFormat="true" ht="20.1" customHeight="true" spans="1:9">
      <c r="A148" s="318">
        <v>214</v>
      </c>
      <c r="B148" s="225" t="s">
        <v>1332</v>
      </c>
      <c r="C148" s="219">
        <f t="shared" ref="C148:I148" si="23">SUM(C149:C154)</f>
        <v>2251</v>
      </c>
      <c r="D148" s="219">
        <f t="shared" si="23"/>
        <v>1322</v>
      </c>
      <c r="E148" s="219">
        <f t="shared" si="23"/>
        <v>180</v>
      </c>
      <c r="F148" s="219">
        <f t="shared" si="23"/>
        <v>749</v>
      </c>
      <c r="G148" s="219">
        <f t="shared" si="23"/>
        <v>0</v>
      </c>
      <c r="H148" s="219">
        <f t="shared" si="23"/>
        <v>0</v>
      </c>
      <c r="I148" s="219">
        <f t="shared" si="23"/>
        <v>0</v>
      </c>
    </row>
    <row r="149" ht="20.1" customHeight="true" spans="1:9">
      <c r="A149" s="315">
        <v>21401</v>
      </c>
      <c r="B149" s="198" t="s">
        <v>1003</v>
      </c>
      <c r="C149" s="316">
        <f t="shared" ref="C149:C154" si="24">D149+E149+F149+G149+H149+I149</f>
        <v>2201</v>
      </c>
      <c r="D149" s="316">
        <v>1322</v>
      </c>
      <c r="E149" s="316">
        <v>180</v>
      </c>
      <c r="F149" s="316">
        <v>699</v>
      </c>
      <c r="G149" s="316"/>
      <c r="H149" s="316"/>
      <c r="I149" s="316"/>
    </row>
    <row r="150" ht="20.1" customHeight="true" spans="1:9">
      <c r="A150" s="315">
        <v>21402</v>
      </c>
      <c r="B150" s="198" t="s">
        <v>1023</v>
      </c>
      <c r="C150" s="316">
        <f t="shared" si="24"/>
        <v>0</v>
      </c>
      <c r="D150" s="316"/>
      <c r="E150" s="316">
        <v>0</v>
      </c>
      <c r="F150" s="316">
        <v>0</v>
      </c>
      <c r="G150" s="316"/>
      <c r="H150" s="316"/>
      <c r="I150" s="316"/>
    </row>
    <row r="151" ht="20.1" customHeight="true" spans="1:9">
      <c r="A151" s="315">
        <v>21403</v>
      </c>
      <c r="B151" s="198" t="s">
        <v>1030</v>
      </c>
      <c r="C151" s="316">
        <f t="shared" si="24"/>
        <v>0</v>
      </c>
      <c r="D151" s="316"/>
      <c r="E151" s="316">
        <v>0</v>
      </c>
      <c r="F151" s="316">
        <v>0</v>
      </c>
      <c r="G151" s="316"/>
      <c r="H151" s="316"/>
      <c r="I151" s="316"/>
    </row>
    <row r="152" ht="20.1" customHeight="true" spans="1:9">
      <c r="A152" s="315">
        <v>21405</v>
      </c>
      <c r="B152" s="198" t="s">
        <v>1037</v>
      </c>
      <c r="C152" s="316">
        <f t="shared" si="24"/>
        <v>0</v>
      </c>
      <c r="D152" s="316"/>
      <c r="E152" s="316">
        <v>0</v>
      </c>
      <c r="F152" s="316">
        <v>0</v>
      </c>
      <c r="G152" s="316"/>
      <c r="H152" s="316"/>
      <c r="I152" s="316"/>
    </row>
    <row r="153" ht="20.1" customHeight="true" spans="1:9">
      <c r="A153" s="315">
        <v>21406</v>
      </c>
      <c r="B153" s="198" t="s">
        <v>1040</v>
      </c>
      <c r="C153" s="316">
        <f t="shared" si="24"/>
        <v>0</v>
      </c>
      <c r="D153" s="316"/>
      <c r="E153" s="316">
        <v>0</v>
      </c>
      <c r="F153" s="316">
        <v>0</v>
      </c>
      <c r="G153" s="316"/>
      <c r="H153" s="316"/>
      <c r="I153" s="316"/>
    </row>
    <row r="154" ht="20.1" customHeight="true" spans="1:9">
      <c r="A154" s="315">
        <v>21499</v>
      </c>
      <c r="B154" s="198" t="s">
        <v>1045</v>
      </c>
      <c r="C154" s="316">
        <f t="shared" si="24"/>
        <v>50</v>
      </c>
      <c r="D154" s="316"/>
      <c r="E154" s="316">
        <v>0</v>
      </c>
      <c r="F154" s="316">
        <v>50</v>
      </c>
      <c r="G154" s="316"/>
      <c r="H154" s="316"/>
      <c r="I154" s="316"/>
    </row>
    <row r="155" s="183" customFormat="true" ht="20.1" customHeight="true" spans="1:9">
      <c r="A155" s="318">
        <v>215</v>
      </c>
      <c r="B155" s="225" t="s">
        <v>1333</v>
      </c>
      <c r="C155" s="219">
        <f t="shared" ref="C155:I155" si="25">SUM(C156:C162)</f>
        <v>2489</v>
      </c>
      <c r="D155" s="219">
        <f t="shared" si="25"/>
        <v>728</v>
      </c>
      <c r="E155" s="219">
        <f t="shared" si="25"/>
        <v>0</v>
      </c>
      <c r="F155" s="219">
        <f t="shared" si="25"/>
        <v>1761</v>
      </c>
      <c r="G155" s="219">
        <f t="shared" si="25"/>
        <v>0</v>
      </c>
      <c r="H155" s="219">
        <f t="shared" si="25"/>
        <v>0</v>
      </c>
      <c r="I155" s="219">
        <f t="shared" si="25"/>
        <v>0</v>
      </c>
    </row>
    <row r="156" ht="20.1" customHeight="true" spans="1:9">
      <c r="A156" s="315">
        <v>21501</v>
      </c>
      <c r="B156" s="198" t="s">
        <v>1049</v>
      </c>
      <c r="C156" s="316">
        <f t="shared" ref="C156:C162" si="26">D156+E156+F156+G156+H156+I156</f>
        <v>1</v>
      </c>
      <c r="D156" s="316"/>
      <c r="E156" s="316">
        <v>0</v>
      </c>
      <c r="F156" s="316">
        <v>1</v>
      </c>
      <c r="G156" s="316"/>
      <c r="H156" s="316"/>
      <c r="I156" s="316"/>
    </row>
    <row r="157" ht="20.1" customHeight="true" spans="1:9">
      <c r="A157" s="315">
        <v>21502</v>
      </c>
      <c r="B157" s="198" t="s">
        <v>1056</v>
      </c>
      <c r="C157" s="316">
        <f t="shared" si="26"/>
        <v>0</v>
      </c>
      <c r="D157" s="316"/>
      <c r="E157" s="316">
        <v>0</v>
      </c>
      <c r="F157" s="316">
        <v>0</v>
      </c>
      <c r="G157" s="316"/>
      <c r="H157" s="316"/>
      <c r="I157" s="316"/>
    </row>
    <row r="158" ht="20.1" customHeight="true" spans="1:9">
      <c r="A158" s="315">
        <v>21503</v>
      </c>
      <c r="B158" s="198" t="s">
        <v>1069</v>
      </c>
      <c r="C158" s="316">
        <f t="shared" si="26"/>
        <v>0</v>
      </c>
      <c r="D158" s="316"/>
      <c r="E158" s="316">
        <v>0</v>
      </c>
      <c r="F158" s="316">
        <v>0</v>
      </c>
      <c r="G158" s="316"/>
      <c r="H158" s="316"/>
      <c r="I158" s="316"/>
    </row>
    <row r="159" ht="20.1" customHeight="true" spans="1:9">
      <c r="A159" s="315">
        <v>21505</v>
      </c>
      <c r="B159" s="198" t="s">
        <v>1071</v>
      </c>
      <c r="C159" s="316">
        <f t="shared" si="26"/>
        <v>2230</v>
      </c>
      <c r="D159" s="316">
        <v>488</v>
      </c>
      <c r="E159" s="316">
        <v>0</v>
      </c>
      <c r="F159" s="316">
        <v>1742</v>
      </c>
      <c r="G159" s="316"/>
      <c r="H159" s="316"/>
      <c r="I159" s="316"/>
    </row>
    <row r="160" ht="20.1" customHeight="true" spans="1:9">
      <c r="A160" s="315">
        <v>21507</v>
      </c>
      <c r="B160" s="198" t="s">
        <v>1078</v>
      </c>
      <c r="C160" s="316">
        <f t="shared" si="26"/>
        <v>258</v>
      </c>
      <c r="D160" s="316">
        <v>240</v>
      </c>
      <c r="E160" s="316">
        <v>0</v>
      </c>
      <c r="F160" s="316">
        <v>18</v>
      </c>
      <c r="G160" s="316"/>
      <c r="H160" s="316"/>
      <c r="I160" s="316"/>
    </row>
    <row r="161" ht="20.1" customHeight="true" spans="1:9">
      <c r="A161" s="315">
        <v>21508</v>
      </c>
      <c r="B161" s="198" t="s">
        <v>1082</v>
      </c>
      <c r="C161" s="316">
        <f t="shared" si="26"/>
        <v>0</v>
      </c>
      <c r="D161" s="316"/>
      <c r="E161" s="316"/>
      <c r="F161" s="316"/>
      <c r="G161" s="316"/>
      <c r="H161" s="316"/>
      <c r="I161" s="316"/>
    </row>
    <row r="162" ht="20.1" customHeight="true" spans="1:9">
      <c r="A162" s="315">
        <v>21599</v>
      </c>
      <c r="B162" s="198" t="s">
        <v>1087</v>
      </c>
      <c r="C162" s="316">
        <f t="shared" si="26"/>
        <v>0</v>
      </c>
      <c r="D162" s="316"/>
      <c r="E162" s="316"/>
      <c r="F162" s="316"/>
      <c r="G162" s="316"/>
      <c r="H162" s="316"/>
      <c r="I162" s="316"/>
    </row>
    <row r="163" s="183" customFormat="true" ht="20.1" customHeight="true" spans="1:9">
      <c r="A163" s="318">
        <v>216</v>
      </c>
      <c r="B163" s="225" t="s">
        <v>1334</v>
      </c>
      <c r="C163" s="219">
        <f t="shared" ref="C163:I163" si="27">SUM(C164:C166)</f>
        <v>996</v>
      </c>
      <c r="D163" s="219">
        <f t="shared" si="27"/>
        <v>97</v>
      </c>
      <c r="E163" s="219">
        <f t="shared" si="27"/>
        <v>132</v>
      </c>
      <c r="F163" s="219">
        <f t="shared" si="27"/>
        <v>767</v>
      </c>
      <c r="G163" s="219">
        <f t="shared" si="27"/>
        <v>0</v>
      </c>
      <c r="H163" s="219">
        <f t="shared" si="27"/>
        <v>0</v>
      </c>
      <c r="I163" s="219">
        <f t="shared" si="27"/>
        <v>0</v>
      </c>
    </row>
    <row r="164" ht="20.1" customHeight="true" spans="1:9">
      <c r="A164" s="315">
        <v>21602</v>
      </c>
      <c r="B164" s="198" t="s">
        <v>1094</v>
      </c>
      <c r="C164" s="316">
        <f t="shared" ref="C164:C166" si="28">D164+E164+F164+G164+H164+I164</f>
        <v>258</v>
      </c>
      <c r="D164" s="316">
        <v>97</v>
      </c>
      <c r="E164" s="316">
        <v>0</v>
      </c>
      <c r="F164" s="316">
        <v>161</v>
      </c>
      <c r="G164" s="316"/>
      <c r="H164" s="316"/>
      <c r="I164" s="316"/>
    </row>
    <row r="165" ht="20.1" customHeight="true" spans="1:9">
      <c r="A165" s="315">
        <v>21606</v>
      </c>
      <c r="B165" s="198" t="s">
        <v>1100</v>
      </c>
      <c r="C165" s="316">
        <f t="shared" si="28"/>
        <v>275</v>
      </c>
      <c r="D165" s="316"/>
      <c r="E165" s="316">
        <v>132</v>
      </c>
      <c r="F165" s="316">
        <v>143</v>
      </c>
      <c r="G165" s="316"/>
      <c r="H165" s="316"/>
      <c r="I165" s="316"/>
    </row>
    <row r="166" ht="20.1" customHeight="true" spans="1:9">
      <c r="A166" s="315">
        <v>21699</v>
      </c>
      <c r="B166" s="198" t="s">
        <v>1104</v>
      </c>
      <c r="C166" s="316">
        <f t="shared" si="28"/>
        <v>463</v>
      </c>
      <c r="D166" s="316"/>
      <c r="E166" s="316">
        <v>0</v>
      </c>
      <c r="F166" s="316">
        <v>463</v>
      </c>
      <c r="G166" s="316"/>
      <c r="H166" s="316"/>
      <c r="I166" s="316"/>
    </row>
    <row r="167" s="183" customFormat="true" ht="20.1" customHeight="true" spans="1:9">
      <c r="A167" s="318">
        <v>217</v>
      </c>
      <c r="B167" s="225" t="s">
        <v>1335</v>
      </c>
      <c r="C167" s="219">
        <f t="shared" ref="C167:I167" si="29">SUM(C168:C172)</f>
        <v>184</v>
      </c>
      <c r="D167" s="219">
        <f t="shared" si="29"/>
        <v>179</v>
      </c>
      <c r="E167" s="219">
        <f t="shared" si="29"/>
        <v>0</v>
      </c>
      <c r="F167" s="219">
        <f t="shared" si="29"/>
        <v>5</v>
      </c>
      <c r="G167" s="219">
        <f t="shared" si="29"/>
        <v>0</v>
      </c>
      <c r="H167" s="219">
        <f t="shared" si="29"/>
        <v>0</v>
      </c>
      <c r="I167" s="219">
        <f t="shared" si="29"/>
        <v>0</v>
      </c>
    </row>
    <row r="168" ht="20.1" customHeight="true" spans="1:9">
      <c r="A168" s="315">
        <v>21701</v>
      </c>
      <c r="B168" s="198" t="s">
        <v>1108</v>
      </c>
      <c r="C168" s="316">
        <f t="shared" ref="C168:C172" si="30">D168+E168+F168+G168+H168+I168</f>
        <v>184</v>
      </c>
      <c r="D168" s="316">
        <v>179</v>
      </c>
      <c r="E168" s="316"/>
      <c r="F168" s="316">
        <v>5</v>
      </c>
      <c r="G168" s="316"/>
      <c r="H168" s="316"/>
      <c r="I168" s="316"/>
    </row>
    <row r="169" ht="20.1" customHeight="true" spans="1:9">
      <c r="A169" s="315">
        <v>21702</v>
      </c>
      <c r="B169" s="198" t="s">
        <v>1111</v>
      </c>
      <c r="C169" s="316">
        <f t="shared" si="30"/>
        <v>0</v>
      </c>
      <c r="D169" s="316"/>
      <c r="E169" s="316"/>
      <c r="F169" s="316"/>
      <c r="G169" s="316"/>
      <c r="H169" s="316"/>
      <c r="I169" s="316"/>
    </row>
    <row r="170" ht="20.1" customHeight="true" spans="1:9">
      <c r="A170" s="315">
        <v>21703</v>
      </c>
      <c r="B170" s="198" t="s">
        <v>1121</v>
      </c>
      <c r="C170" s="316">
        <f t="shared" si="30"/>
        <v>0</v>
      </c>
      <c r="D170" s="316"/>
      <c r="E170" s="316"/>
      <c r="F170" s="316"/>
      <c r="G170" s="316"/>
      <c r="H170" s="316"/>
      <c r="I170" s="316"/>
    </row>
    <row r="171" ht="20.1" customHeight="true" spans="1:9">
      <c r="A171" s="315">
        <v>21704</v>
      </c>
      <c r="B171" s="198" t="s">
        <v>1127</v>
      </c>
      <c r="C171" s="316">
        <f t="shared" si="30"/>
        <v>0</v>
      </c>
      <c r="D171" s="316"/>
      <c r="E171" s="316"/>
      <c r="F171" s="316"/>
      <c r="G171" s="316"/>
      <c r="H171" s="316"/>
      <c r="I171" s="316"/>
    </row>
    <row r="172" ht="20.1" customHeight="true" spans="1:9">
      <c r="A172" s="315">
        <v>21799</v>
      </c>
      <c r="B172" s="198" t="s">
        <v>1130</v>
      </c>
      <c r="C172" s="316">
        <f t="shared" si="30"/>
        <v>0</v>
      </c>
      <c r="D172" s="316"/>
      <c r="E172" s="316"/>
      <c r="F172" s="316"/>
      <c r="G172" s="316"/>
      <c r="H172" s="316"/>
      <c r="I172" s="316"/>
    </row>
    <row r="173" s="183" customFormat="true" ht="20.1" customHeight="true" spans="1:9">
      <c r="A173" s="318">
        <v>219</v>
      </c>
      <c r="B173" s="225" t="s">
        <v>1336</v>
      </c>
      <c r="C173" s="219">
        <f t="shared" ref="C173:I173" si="31">SUM(C174:C182)</f>
        <v>0</v>
      </c>
      <c r="D173" s="219"/>
      <c r="E173" s="219"/>
      <c r="F173" s="219"/>
      <c r="G173" s="219">
        <f t="shared" si="31"/>
        <v>0</v>
      </c>
      <c r="H173" s="219">
        <f t="shared" si="31"/>
        <v>0</v>
      </c>
      <c r="I173" s="219">
        <f t="shared" si="31"/>
        <v>0</v>
      </c>
    </row>
    <row r="174" ht="20.1" customHeight="true" spans="1:9">
      <c r="A174" s="315">
        <v>21901</v>
      </c>
      <c r="B174" s="198" t="s">
        <v>1134</v>
      </c>
      <c r="C174" s="316">
        <f t="shared" ref="C174:C182" si="32">D174+E174+F174+G174+H174+I174</f>
        <v>0</v>
      </c>
      <c r="D174" s="316"/>
      <c r="E174" s="316"/>
      <c r="F174" s="316"/>
      <c r="G174" s="316"/>
      <c r="H174" s="316"/>
      <c r="I174" s="316"/>
    </row>
    <row r="175" ht="20.1" customHeight="true" spans="1:9">
      <c r="A175" s="315">
        <v>21902</v>
      </c>
      <c r="B175" s="198" t="s">
        <v>1135</v>
      </c>
      <c r="C175" s="316">
        <f t="shared" si="32"/>
        <v>0</v>
      </c>
      <c r="D175" s="316"/>
      <c r="E175" s="316"/>
      <c r="F175" s="316"/>
      <c r="G175" s="316"/>
      <c r="H175" s="316"/>
      <c r="I175" s="316"/>
    </row>
    <row r="176" ht="20.1" customHeight="true" spans="1:9">
      <c r="A176" s="315">
        <v>21903</v>
      </c>
      <c r="B176" s="198" t="s">
        <v>1136</v>
      </c>
      <c r="C176" s="316">
        <f t="shared" si="32"/>
        <v>0</v>
      </c>
      <c r="D176" s="316"/>
      <c r="E176" s="316"/>
      <c r="F176" s="316"/>
      <c r="G176" s="316"/>
      <c r="H176" s="316"/>
      <c r="I176" s="316"/>
    </row>
    <row r="177" ht="20.1" customHeight="true" spans="1:9">
      <c r="A177" s="315">
        <v>21904</v>
      </c>
      <c r="B177" s="198" t="s">
        <v>1137</v>
      </c>
      <c r="C177" s="316">
        <f t="shared" si="32"/>
        <v>0</v>
      </c>
      <c r="D177" s="316"/>
      <c r="E177" s="316"/>
      <c r="F177" s="316"/>
      <c r="G177" s="316"/>
      <c r="H177" s="316"/>
      <c r="I177" s="316"/>
    </row>
    <row r="178" ht="20.1" customHeight="true" spans="1:9">
      <c r="A178" s="315">
        <v>21905</v>
      </c>
      <c r="B178" s="198" t="s">
        <v>1138</v>
      </c>
      <c r="C178" s="316">
        <f t="shared" si="32"/>
        <v>0</v>
      </c>
      <c r="D178" s="316"/>
      <c r="E178" s="316"/>
      <c r="F178" s="316"/>
      <c r="G178" s="316"/>
      <c r="H178" s="316"/>
      <c r="I178" s="316"/>
    </row>
    <row r="179" ht="20.1" customHeight="true" spans="1:9">
      <c r="A179" s="315">
        <v>21906</v>
      </c>
      <c r="B179" s="198" t="s">
        <v>909</v>
      </c>
      <c r="C179" s="316">
        <f t="shared" si="32"/>
        <v>0</v>
      </c>
      <c r="D179" s="316"/>
      <c r="E179" s="316"/>
      <c r="F179" s="316"/>
      <c r="G179" s="316"/>
      <c r="H179" s="316"/>
      <c r="I179" s="316"/>
    </row>
    <row r="180" ht="20.1" customHeight="true" spans="1:9">
      <c r="A180" s="315">
        <v>21907</v>
      </c>
      <c r="B180" s="198" t="s">
        <v>1139</v>
      </c>
      <c r="C180" s="316">
        <f t="shared" si="32"/>
        <v>0</v>
      </c>
      <c r="D180" s="316"/>
      <c r="E180" s="316"/>
      <c r="F180" s="316"/>
      <c r="G180" s="316"/>
      <c r="H180" s="316"/>
      <c r="I180" s="316"/>
    </row>
    <row r="181" ht="20.1" customHeight="true" spans="1:9">
      <c r="A181" s="315">
        <v>21908</v>
      </c>
      <c r="B181" s="198" t="s">
        <v>1140</v>
      </c>
      <c r="C181" s="316">
        <f t="shared" si="32"/>
        <v>0</v>
      </c>
      <c r="D181" s="316"/>
      <c r="E181" s="316"/>
      <c r="F181" s="316"/>
      <c r="G181" s="316"/>
      <c r="H181" s="316"/>
      <c r="I181" s="316"/>
    </row>
    <row r="182" ht="20.1" customHeight="true" spans="1:9">
      <c r="A182" s="315">
        <v>21999</v>
      </c>
      <c r="B182" s="198" t="s">
        <v>1141</v>
      </c>
      <c r="C182" s="316">
        <f t="shared" si="32"/>
        <v>0</v>
      </c>
      <c r="D182" s="316"/>
      <c r="E182" s="316"/>
      <c r="F182" s="316"/>
      <c r="G182" s="316"/>
      <c r="H182" s="316"/>
      <c r="I182" s="316"/>
    </row>
    <row r="183" s="183" customFormat="true" ht="20.1" customHeight="true" spans="1:9">
      <c r="A183" s="318">
        <v>220</v>
      </c>
      <c r="B183" s="225" t="s">
        <v>1337</v>
      </c>
      <c r="C183" s="219">
        <f t="shared" ref="C183:I183" si="33">SUM(C184:C186)</f>
        <v>103642</v>
      </c>
      <c r="D183" s="219">
        <f t="shared" si="33"/>
        <v>1762</v>
      </c>
      <c r="E183" s="219">
        <f t="shared" si="33"/>
        <v>100000</v>
      </c>
      <c r="F183" s="219">
        <f t="shared" si="33"/>
        <v>1880</v>
      </c>
      <c r="G183" s="219">
        <f t="shared" si="33"/>
        <v>0</v>
      </c>
      <c r="H183" s="219">
        <f t="shared" si="33"/>
        <v>0</v>
      </c>
      <c r="I183" s="219">
        <f t="shared" si="33"/>
        <v>0</v>
      </c>
    </row>
    <row r="184" ht="20.1" customHeight="true" spans="1:9">
      <c r="A184" s="315">
        <v>22001</v>
      </c>
      <c r="B184" s="198" t="s">
        <v>1143</v>
      </c>
      <c r="C184" s="316">
        <f t="shared" ref="C184:C186" si="34">D184+E184+F184+G184+H184+I184</f>
        <v>103642</v>
      </c>
      <c r="D184" s="316">
        <v>1762</v>
      </c>
      <c r="E184" s="316">
        <f>90000+10000</f>
        <v>100000</v>
      </c>
      <c r="F184" s="316">
        <v>1880</v>
      </c>
      <c r="G184" s="316"/>
      <c r="H184" s="316"/>
      <c r="I184" s="316"/>
    </row>
    <row r="185" ht="20.1" customHeight="true" spans="1:9">
      <c r="A185" s="315">
        <v>22005</v>
      </c>
      <c r="B185" s="198" t="s">
        <v>1167</v>
      </c>
      <c r="C185" s="316">
        <f t="shared" si="34"/>
        <v>0</v>
      </c>
      <c r="D185" s="316"/>
      <c r="E185" s="316"/>
      <c r="F185" s="316"/>
      <c r="G185" s="316"/>
      <c r="H185" s="316"/>
      <c r="I185" s="316"/>
    </row>
    <row r="186" ht="20.1" customHeight="true" spans="1:9">
      <c r="A186" s="315">
        <v>22099</v>
      </c>
      <c r="B186" s="198" t="s">
        <v>1179</v>
      </c>
      <c r="C186" s="316">
        <f t="shared" si="34"/>
        <v>0</v>
      </c>
      <c r="D186" s="316"/>
      <c r="E186" s="316"/>
      <c r="F186" s="316"/>
      <c r="G186" s="316"/>
      <c r="H186" s="316"/>
      <c r="I186" s="316"/>
    </row>
    <row r="187" s="183" customFormat="true" ht="20.1" customHeight="true" spans="1:9">
      <c r="A187" s="318">
        <v>221</v>
      </c>
      <c r="B187" s="225" t="s">
        <v>1338</v>
      </c>
      <c r="C187" s="219">
        <f t="shared" ref="C187:I187" si="35">SUM(C188:C190)</f>
        <v>19663</v>
      </c>
      <c r="D187" s="219">
        <f t="shared" si="35"/>
        <v>15998</v>
      </c>
      <c r="E187" s="219">
        <f t="shared" si="35"/>
        <v>470</v>
      </c>
      <c r="F187" s="219">
        <f t="shared" si="35"/>
        <v>3195</v>
      </c>
      <c r="G187" s="219">
        <f t="shared" si="35"/>
        <v>0</v>
      </c>
      <c r="H187" s="219">
        <f t="shared" si="35"/>
        <v>0</v>
      </c>
      <c r="I187" s="219">
        <f t="shared" si="35"/>
        <v>0</v>
      </c>
    </row>
    <row r="188" ht="20.1" customHeight="true" spans="1:9">
      <c r="A188" s="315">
        <v>22101</v>
      </c>
      <c r="B188" s="198" t="s">
        <v>1181</v>
      </c>
      <c r="C188" s="316">
        <f t="shared" ref="C188:C190" si="36">D188+E188+F188+G188+H188+I188</f>
        <v>778</v>
      </c>
      <c r="D188" s="316">
        <v>300</v>
      </c>
      <c r="E188" s="316">
        <v>470</v>
      </c>
      <c r="F188" s="316">
        <v>8</v>
      </c>
      <c r="G188" s="316"/>
      <c r="H188" s="316"/>
      <c r="I188" s="316"/>
    </row>
    <row r="189" ht="20.1" customHeight="true" spans="1:9">
      <c r="A189" s="315">
        <v>22102</v>
      </c>
      <c r="B189" s="198" t="s">
        <v>1193</v>
      </c>
      <c r="C189" s="316">
        <f t="shared" si="36"/>
        <v>14185</v>
      </c>
      <c r="D189" s="316">
        <v>14185</v>
      </c>
      <c r="E189" s="316">
        <v>0</v>
      </c>
      <c r="F189" s="316">
        <v>0</v>
      </c>
      <c r="G189" s="316"/>
      <c r="H189" s="316"/>
      <c r="I189" s="316"/>
    </row>
    <row r="190" ht="20.1" customHeight="true" spans="1:9">
      <c r="A190" s="315">
        <v>22103</v>
      </c>
      <c r="B190" s="198" t="s">
        <v>1197</v>
      </c>
      <c r="C190" s="316">
        <f t="shared" si="36"/>
        <v>4700</v>
      </c>
      <c r="D190" s="316">
        <v>1513</v>
      </c>
      <c r="E190" s="316">
        <v>0</v>
      </c>
      <c r="F190" s="316">
        <v>3187</v>
      </c>
      <c r="G190" s="316"/>
      <c r="H190" s="316"/>
      <c r="I190" s="316"/>
    </row>
    <row r="191" s="183" customFormat="true" ht="20.1" customHeight="true" spans="1:9">
      <c r="A191" s="318">
        <v>222</v>
      </c>
      <c r="B191" s="225" t="s">
        <v>1339</v>
      </c>
      <c r="C191" s="219">
        <f>SUM(C192:C195)</f>
        <v>293</v>
      </c>
      <c r="D191" s="219">
        <f t="shared" ref="D191:I191" si="37">SUM(D192:D195)</f>
        <v>292</v>
      </c>
      <c r="E191" s="219">
        <f t="shared" si="37"/>
        <v>0</v>
      </c>
      <c r="F191" s="219">
        <f t="shared" si="37"/>
        <v>1</v>
      </c>
      <c r="G191" s="219">
        <f t="shared" si="37"/>
        <v>0</v>
      </c>
      <c r="H191" s="219">
        <f t="shared" si="37"/>
        <v>0</v>
      </c>
      <c r="I191" s="219">
        <f t="shared" si="37"/>
        <v>0</v>
      </c>
    </row>
    <row r="192" ht="20.1" customHeight="true" spans="1:9">
      <c r="A192" s="315">
        <v>22201</v>
      </c>
      <c r="B192" s="198" t="s">
        <v>1202</v>
      </c>
      <c r="C192" s="316">
        <f t="shared" ref="C192:C195" si="38">D192+E192+F192+G192+H192+I192</f>
        <v>293</v>
      </c>
      <c r="D192" s="316">
        <v>292</v>
      </c>
      <c r="E192" s="316"/>
      <c r="F192" s="316">
        <v>1</v>
      </c>
      <c r="G192" s="316"/>
      <c r="H192" s="316"/>
      <c r="I192" s="316"/>
    </row>
    <row r="193" ht="20.1" customHeight="true" spans="1:9">
      <c r="A193" s="315">
        <v>22203</v>
      </c>
      <c r="B193" s="198" t="s">
        <v>1216</v>
      </c>
      <c r="C193" s="316">
        <f t="shared" si="38"/>
        <v>0</v>
      </c>
      <c r="D193" s="316"/>
      <c r="E193" s="316"/>
      <c r="F193" s="316"/>
      <c r="G193" s="316"/>
      <c r="H193" s="316"/>
      <c r="I193" s="316"/>
    </row>
    <row r="194" ht="20.1" customHeight="true" spans="1:9">
      <c r="A194" s="315">
        <v>22204</v>
      </c>
      <c r="B194" s="198" t="s">
        <v>1222</v>
      </c>
      <c r="C194" s="316">
        <f t="shared" si="38"/>
        <v>0</v>
      </c>
      <c r="D194" s="316"/>
      <c r="E194" s="316"/>
      <c r="F194" s="316"/>
      <c r="G194" s="316"/>
      <c r="H194" s="316"/>
      <c r="I194" s="316"/>
    </row>
    <row r="195" ht="20.1" customHeight="true" spans="1:9">
      <c r="A195" s="315">
        <v>22205</v>
      </c>
      <c r="B195" s="198" t="s">
        <v>1228</v>
      </c>
      <c r="C195" s="316">
        <f t="shared" si="38"/>
        <v>0</v>
      </c>
      <c r="D195" s="316"/>
      <c r="E195" s="316"/>
      <c r="F195" s="316"/>
      <c r="G195" s="316"/>
      <c r="H195" s="316"/>
      <c r="I195" s="316"/>
    </row>
    <row r="196" s="183" customFormat="true" ht="20.1" customHeight="true" spans="1:9">
      <c r="A196" s="318">
        <v>224</v>
      </c>
      <c r="B196" s="225" t="s">
        <v>1340</v>
      </c>
      <c r="C196" s="219">
        <f t="shared" ref="C196:I196" si="39">SUM(C197:C203)</f>
        <v>3802</v>
      </c>
      <c r="D196" s="219">
        <f t="shared" si="39"/>
        <v>3422</v>
      </c>
      <c r="E196" s="219">
        <f t="shared" si="39"/>
        <v>0</v>
      </c>
      <c r="F196" s="219">
        <f t="shared" si="39"/>
        <v>380</v>
      </c>
      <c r="G196" s="219">
        <f t="shared" si="39"/>
        <v>0</v>
      </c>
      <c r="H196" s="219">
        <f t="shared" si="39"/>
        <v>0</v>
      </c>
      <c r="I196" s="219">
        <f t="shared" si="39"/>
        <v>0</v>
      </c>
    </row>
    <row r="197" ht="20.1" customHeight="true" spans="1:9">
      <c r="A197" s="315">
        <v>22401</v>
      </c>
      <c r="B197" s="198" t="s">
        <v>1242</v>
      </c>
      <c r="C197" s="316">
        <f t="shared" ref="C197:C204" si="40">D197+E197+F197+G197+H197+I197</f>
        <v>764</v>
      </c>
      <c r="D197" s="316">
        <v>690</v>
      </c>
      <c r="E197" s="316">
        <v>0</v>
      </c>
      <c r="F197" s="316">
        <v>74</v>
      </c>
      <c r="G197" s="316"/>
      <c r="H197" s="316"/>
      <c r="I197" s="316"/>
    </row>
    <row r="198" ht="20.1" customHeight="true" spans="1:9">
      <c r="A198" s="315">
        <v>22402</v>
      </c>
      <c r="B198" s="198" t="s">
        <v>1249</v>
      </c>
      <c r="C198" s="316">
        <f t="shared" si="40"/>
        <v>2554</v>
      </c>
      <c r="D198" s="316">
        <v>2554</v>
      </c>
      <c r="E198" s="316">
        <v>0</v>
      </c>
      <c r="F198" s="316">
        <v>0</v>
      </c>
      <c r="G198" s="316"/>
      <c r="H198" s="316"/>
      <c r="I198" s="316"/>
    </row>
    <row r="199" ht="20.1" customHeight="true" spans="1:9">
      <c r="A199" s="315">
        <v>22404</v>
      </c>
      <c r="B199" s="198" t="s">
        <v>1252</v>
      </c>
      <c r="C199" s="316">
        <f t="shared" si="40"/>
        <v>0</v>
      </c>
      <c r="D199" s="316"/>
      <c r="E199" s="316">
        <v>0</v>
      </c>
      <c r="F199" s="316">
        <v>0</v>
      </c>
      <c r="G199" s="316"/>
      <c r="H199" s="316"/>
      <c r="I199" s="316"/>
    </row>
    <row r="200" ht="20.1" customHeight="true" spans="1:9">
      <c r="A200" s="315">
        <v>22405</v>
      </c>
      <c r="B200" s="198" t="s">
        <v>1256</v>
      </c>
      <c r="C200" s="316">
        <f t="shared" si="40"/>
        <v>178</v>
      </c>
      <c r="D200" s="316">
        <v>178</v>
      </c>
      <c r="E200" s="316">
        <v>0</v>
      </c>
      <c r="F200" s="316">
        <v>0</v>
      </c>
      <c r="G200" s="316"/>
      <c r="H200" s="316"/>
      <c r="I200" s="316"/>
    </row>
    <row r="201" ht="20.1" customHeight="true" spans="1:9">
      <c r="A201" s="315">
        <v>22406</v>
      </c>
      <c r="B201" s="198" t="s">
        <v>1266</v>
      </c>
      <c r="C201" s="316">
        <f t="shared" si="40"/>
        <v>34</v>
      </c>
      <c r="D201" s="316"/>
      <c r="E201" s="316">
        <v>0</v>
      </c>
      <c r="F201" s="316">
        <v>34</v>
      </c>
      <c r="G201" s="316"/>
      <c r="H201" s="316"/>
      <c r="I201" s="316"/>
    </row>
    <row r="202" ht="20.1" customHeight="true" spans="1:9">
      <c r="A202" s="315">
        <v>22407</v>
      </c>
      <c r="B202" s="198" t="s">
        <v>1270</v>
      </c>
      <c r="C202" s="316">
        <f t="shared" si="40"/>
        <v>0</v>
      </c>
      <c r="D202" s="316"/>
      <c r="E202" s="316">
        <v>0</v>
      </c>
      <c r="F202" s="316">
        <v>0</v>
      </c>
      <c r="G202" s="316"/>
      <c r="H202" s="316"/>
      <c r="I202" s="316"/>
    </row>
    <row r="203" ht="20.1" customHeight="true" spans="1:9">
      <c r="A203" s="315">
        <v>22499</v>
      </c>
      <c r="B203" s="198" t="s">
        <v>1274</v>
      </c>
      <c r="C203" s="316">
        <f t="shared" si="40"/>
        <v>272</v>
      </c>
      <c r="D203" s="316"/>
      <c r="E203" s="316"/>
      <c r="F203" s="316">
        <v>272</v>
      </c>
      <c r="G203" s="316"/>
      <c r="H203" s="316"/>
      <c r="I203" s="316"/>
    </row>
    <row r="204" s="183" customFormat="true" ht="20.1" customHeight="true" spans="1:9">
      <c r="A204" s="318">
        <v>227</v>
      </c>
      <c r="B204" s="225" t="s">
        <v>1341</v>
      </c>
      <c r="C204" s="219">
        <f t="shared" si="40"/>
        <v>2000</v>
      </c>
      <c r="D204" s="219">
        <v>2000</v>
      </c>
      <c r="E204" s="219"/>
      <c r="F204" s="219"/>
      <c r="G204" s="219"/>
      <c r="H204" s="219"/>
      <c r="I204" s="219"/>
    </row>
    <row r="205" s="183" customFormat="true" ht="20.1" customHeight="true" spans="1:9">
      <c r="A205" s="318">
        <v>229</v>
      </c>
      <c r="B205" s="225" t="s">
        <v>1342</v>
      </c>
      <c r="C205" s="219">
        <f t="shared" ref="C205:I205" si="41">SUM(C206:C207)</f>
        <v>317</v>
      </c>
      <c r="D205" s="219">
        <f t="shared" si="41"/>
        <v>0</v>
      </c>
      <c r="E205" s="219">
        <f t="shared" si="41"/>
        <v>217</v>
      </c>
      <c r="F205" s="219">
        <f t="shared" si="41"/>
        <v>100</v>
      </c>
      <c r="G205" s="219">
        <f t="shared" si="41"/>
        <v>0</v>
      </c>
      <c r="H205" s="219">
        <f t="shared" si="41"/>
        <v>0</v>
      </c>
      <c r="I205" s="219">
        <f t="shared" si="41"/>
        <v>0</v>
      </c>
    </row>
    <row r="206" ht="20.1" customHeight="true" spans="1:9">
      <c r="A206" s="315">
        <v>22902</v>
      </c>
      <c r="B206" s="198" t="s">
        <v>1277</v>
      </c>
      <c r="C206" s="316">
        <f t="shared" ref="C206:C210" si="42">D206+E206+F206+G206+H206+I206</f>
        <v>0</v>
      </c>
      <c r="D206" s="316"/>
      <c r="E206" s="316"/>
      <c r="F206" s="316"/>
      <c r="G206" s="316"/>
      <c r="H206" s="316"/>
      <c r="I206" s="316"/>
    </row>
    <row r="207" ht="20.1" customHeight="true" spans="1:9">
      <c r="A207" s="315">
        <v>22999</v>
      </c>
      <c r="B207" s="198" t="s">
        <v>1141</v>
      </c>
      <c r="C207" s="316">
        <f t="shared" si="42"/>
        <v>317</v>
      </c>
      <c r="D207" s="316"/>
      <c r="E207" s="316">
        <v>217</v>
      </c>
      <c r="F207" s="316">
        <v>100</v>
      </c>
      <c r="G207" s="316"/>
      <c r="H207" s="316"/>
      <c r="I207" s="316"/>
    </row>
    <row r="208" s="183" customFormat="true" ht="20.1" customHeight="true" spans="1:9">
      <c r="A208" s="318">
        <v>232</v>
      </c>
      <c r="B208" s="225" t="s">
        <v>1343</v>
      </c>
      <c r="C208" s="219">
        <f t="shared" ref="C208:I208" si="43">C209</f>
        <v>20980</v>
      </c>
      <c r="D208" s="219">
        <f t="shared" si="43"/>
        <v>20980</v>
      </c>
      <c r="E208" s="219">
        <f t="shared" si="43"/>
        <v>0</v>
      </c>
      <c r="F208" s="219">
        <f t="shared" si="43"/>
        <v>0</v>
      </c>
      <c r="G208" s="219">
        <f t="shared" si="43"/>
        <v>0</v>
      </c>
      <c r="H208" s="219">
        <f t="shared" si="43"/>
        <v>0</v>
      </c>
      <c r="I208" s="219">
        <f t="shared" si="43"/>
        <v>0</v>
      </c>
    </row>
    <row r="209" ht="20.1" customHeight="true" spans="1:9">
      <c r="A209" s="315">
        <v>23203</v>
      </c>
      <c r="B209" s="198" t="s">
        <v>1279</v>
      </c>
      <c r="C209" s="316">
        <f t="shared" si="42"/>
        <v>20980</v>
      </c>
      <c r="D209" s="316">
        <v>20980</v>
      </c>
      <c r="E209" s="316"/>
      <c r="F209" s="316"/>
      <c r="G209" s="316"/>
      <c r="H209" s="316"/>
      <c r="I209" s="316"/>
    </row>
    <row r="210" s="183" customFormat="true" ht="20.1" customHeight="true" spans="1:9">
      <c r="A210" s="318">
        <v>233</v>
      </c>
      <c r="B210" s="225" t="s">
        <v>1344</v>
      </c>
      <c r="C210" s="219">
        <f t="shared" si="42"/>
        <v>0</v>
      </c>
      <c r="D210" s="219"/>
      <c r="E210" s="219"/>
      <c r="F210" s="219"/>
      <c r="G210" s="219"/>
      <c r="H210" s="219"/>
      <c r="I210" s="219"/>
    </row>
    <row r="211" s="183" customFormat="true" ht="20" customHeight="true" spans="1:9">
      <c r="A211" s="209" t="s">
        <v>68</v>
      </c>
      <c r="B211" s="209"/>
      <c r="C211" s="219">
        <f t="shared" ref="C211:F211" si="44">C6+C33+C36+C39+C51+C62+C73+C80+C102+C116+C132+C139+C148+C155+C163+C167+C173+C183+C187+C191+C196+C204+C205+C208+C210</f>
        <v>503668</v>
      </c>
      <c r="D211" s="219">
        <f t="shared" si="44"/>
        <v>215035</v>
      </c>
      <c r="E211" s="219">
        <f t="shared" si="44"/>
        <v>213603</v>
      </c>
      <c r="F211" s="219">
        <f t="shared" si="44"/>
        <v>75030</v>
      </c>
      <c r="G211" s="219"/>
      <c r="H211" s="219"/>
      <c r="I211" s="219"/>
    </row>
  </sheetData>
  <autoFilter ref="A5:I211">
    <extLst/>
  </autoFilter>
  <mergeCells count="10">
    <mergeCell ref="A2:I2"/>
    <mergeCell ref="A4:B4"/>
    <mergeCell ref="A211:B211"/>
    <mergeCell ref="C4:C5"/>
    <mergeCell ref="D4:D5"/>
    <mergeCell ref="E4:E5"/>
    <mergeCell ref="F4:F5"/>
    <mergeCell ref="G4:G5"/>
    <mergeCell ref="H4:H5"/>
    <mergeCell ref="I4:I5"/>
  </mergeCells>
  <printOptions horizontalCentered="true"/>
  <pageMargins left="0.47244094488189" right="0.47244094488189" top="0.47244094488189" bottom="0.354330708661417" header="0.118110236220472" footer="0.118110236220472"/>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showGridLines="0" zoomScale="130" zoomScaleNormal="130" workbookViewId="0">
      <selection activeCell="J6" sqref="J6"/>
    </sheetView>
  </sheetViews>
  <sheetFormatPr defaultColWidth="8" defaultRowHeight="13.5" outlineLevelCol="6"/>
  <cols>
    <col min="1" max="1" width="15.75" style="168" customWidth="true"/>
    <col min="2" max="2" width="23.375" style="168" customWidth="true"/>
    <col min="3" max="7" width="8" style="168" customWidth="true"/>
    <col min="8" max="16384" width="8" style="168"/>
  </cols>
  <sheetData>
    <row r="1" ht="14.25" spans="1:1">
      <c r="A1" s="185" t="s">
        <v>1345</v>
      </c>
    </row>
    <row r="2" ht="33" customHeight="true" spans="1:7">
      <c r="A2" s="304" t="s">
        <v>1346</v>
      </c>
      <c r="B2" s="304"/>
      <c r="C2" s="304"/>
      <c r="D2" s="304"/>
      <c r="E2" s="304"/>
      <c r="F2" s="304"/>
      <c r="G2" s="304"/>
    </row>
    <row r="3" ht="14.25" customHeight="true" spans="1:6">
      <c r="A3" s="305" t="s">
        <v>1347</v>
      </c>
      <c r="B3" s="305"/>
      <c r="C3" s="305"/>
      <c r="D3" s="305"/>
      <c r="E3" s="305"/>
      <c r="F3" s="305"/>
    </row>
    <row r="4" ht="14.25" customHeight="true" spans="1:7">
      <c r="A4" s="306" t="s">
        <v>1348</v>
      </c>
      <c r="B4" s="306" t="s">
        <v>1349</v>
      </c>
      <c r="C4" s="306" t="s">
        <v>1312</v>
      </c>
      <c r="D4" s="306"/>
      <c r="E4" s="306"/>
      <c r="F4" s="306"/>
      <c r="G4" s="313"/>
    </row>
    <row r="5" ht="14.25" customHeight="true" spans="1:7">
      <c r="A5" s="307"/>
      <c r="B5" s="307"/>
      <c r="C5" s="306"/>
      <c r="D5" s="306" t="s">
        <v>1350</v>
      </c>
      <c r="E5" s="306" t="s">
        <v>1351</v>
      </c>
      <c r="F5" s="306" t="s">
        <v>1352</v>
      </c>
      <c r="G5" s="306" t="s">
        <v>1315</v>
      </c>
    </row>
    <row r="6" ht="20.25" customHeight="true" spans="1:7">
      <c r="A6" s="307"/>
      <c r="B6" s="307"/>
      <c r="C6" s="306"/>
      <c r="D6" s="306"/>
      <c r="E6" s="306"/>
      <c r="F6" s="306"/>
      <c r="G6" s="306"/>
    </row>
    <row r="7" ht="21" customHeight="true" spans="1:7">
      <c r="A7" s="307"/>
      <c r="B7" s="307"/>
      <c r="C7" s="306"/>
      <c r="D7" s="308"/>
      <c r="E7" s="308"/>
      <c r="F7" s="308"/>
      <c r="G7" s="308"/>
    </row>
    <row r="8" ht="12.75" customHeight="true" spans="1:7">
      <c r="A8" s="309"/>
      <c r="B8" s="309" t="s">
        <v>1312</v>
      </c>
      <c r="C8" s="310">
        <f t="shared" ref="C8:C31" si="0">SUM(D8:G8)</f>
        <v>503667.917519</v>
      </c>
      <c r="D8" s="310">
        <f t="shared" ref="D8:G8" si="1">D9+D14+D24+D29+D32+D35+D38+D41+D45+D47</f>
        <v>235396.917519</v>
      </c>
      <c r="E8" s="310">
        <f t="shared" si="1"/>
        <v>0</v>
      </c>
      <c r="F8" s="310">
        <f t="shared" si="1"/>
        <v>193241</v>
      </c>
      <c r="G8" s="310">
        <f t="shared" si="1"/>
        <v>75030</v>
      </c>
    </row>
    <row r="9" ht="12.75" customHeight="true" spans="1:7">
      <c r="A9" s="309" t="s">
        <v>1353</v>
      </c>
      <c r="B9" s="309" t="s">
        <v>1354</v>
      </c>
      <c r="C9" s="310">
        <f t="shared" si="0"/>
        <v>86273.913041</v>
      </c>
      <c r="D9" s="310">
        <f t="shared" ref="D9:G9" si="2">SUM(D10:D13)</f>
        <v>86273.913041</v>
      </c>
      <c r="E9" s="310">
        <f t="shared" si="2"/>
        <v>0</v>
      </c>
      <c r="F9" s="310">
        <f t="shared" si="2"/>
        <v>0</v>
      </c>
      <c r="G9" s="310">
        <f t="shared" si="2"/>
        <v>0</v>
      </c>
    </row>
    <row r="10" ht="12.75" customHeight="true" spans="1:7">
      <c r="A10" s="311" t="s">
        <v>1355</v>
      </c>
      <c r="B10" s="311" t="s">
        <v>1356</v>
      </c>
      <c r="C10" s="310">
        <f t="shared" si="0"/>
        <v>48251</v>
      </c>
      <c r="D10" s="178">
        <v>48251</v>
      </c>
      <c r="E10" s="312"/>
      <c r="F10" s="312"/>
      <c r="G10" s="313"/>
    </row>
    <row r="11" ht="12.75" customHeight="true" spans="1:7">
      <c r="A11" s="311" t="s">
        <v>1357</v>
      </c>
      <c r="B11" s="311" t="s">
        <v>1358</v>
      </c>
      <c r="C11" s="310">
        <f t="shared" si="0"/>
        <v>26271</v>
      </c>
      <c r="D11" s="178">
        <v>26271</v>
      </c>
      <c r="E11" s="312"/>
      <c r="F11" s="312"/>
      <c r="G11" s="313"/>
    </row>
    <row r="12" ht="12.75" customHeight="true" spans="1:7">
      <c r="A12" s="311" t="s">
        <v>1359</v>
      </c>
      <c r="B12" s="311" t="s">
        <v>1360</v>
      </c>
      <c r="C12" s="310">
        <f t="shared" si="0"/>
        <v>6433.913041</v>
      </c>
      <c r="D12" s="178">
        <v>6433.913041</v>
      </c>
      <c r="E12" s="312"/>
      <c r="F12" s="312"/>
      <c r="G12" s="313"/>
    </row>
    <row r="13" ht="12.75" customHeight="true" spans="1:7">
      <c r="A13" s="311" t="s">
        <v>1361</v>
      </c>
      <c r="B13" s="311" t="s">
        <v>1362</v>
      </c>
      <c r="C13" s="310">
        <f t="shared" si="0"/>
        <v>5318</v>
      </c>
      <c r="D13" s="178">
        <v>5318</v>
      </c>
      <c r="E13" s="312"/>
      <c r="F13" s="312"/>
      <c r="G13" s="313"/>
    </row>
    <row r="14" ht="12.75" customHeight="true" spans="1:7">
      <c r="A14" s="309" t="s">
        <v>1363</v>
      </c>
      <c r="B14" s="309" t="s">
        <v>1364</v>
      </c>
      <c r="C14" s="310">
        <f t="shared" si="0"/>
        <v>34631</v>
      </c>
      <c r="D14" s="310">
        <f>SUM(D15:D23)</f>
        <v>14496</v>
      </c>
      <c r="E14" s="310">
        <f t="shared" ref="D14:G14" si="3">SUM(E15:E23)</f>
        <v>0</v>
      </c>
      <c r="F14" s="310">
        <f t="shared" si="3"/>
        <v>3917</v>
      </c>
      <c r="G14" s="310">
        <f t="shared" si="3"/>
        <v>16218</v>
      </c>
    </row>
    <row r="15" ht="12.75" customHeight="true" spans="1:7">
      <c r="A15" s="311" t="s">
        <v>1365</v>
      </c>
      <c r="B15" s="311" t="s">
        <v>1366</v>
      </c>
      <c r="C15" s="310">
        <f t="shared" si="0"/>
        <v>24327</v>
      </c>
      <c r="D15" s="178">
        <v>6620</v>
      </c>
      <c r="E15" s="312"/>
      <c r="F15" s="312">
        <f>869+2666</f>
        <v>3535</v>
      </c>
      <c r="G15" s="312">
        <f>60+2190+11921+1</f>
        <v>14172</v>
      </c>
    </row>
    <row r="16" ht="12.75" customHeight="true" spans="1:7">
      <c r="A16" s="311" t="s">
        <v>1367</v>
      </c>
      <c r="B16" s="311" t="s">
        <v>1368</v>
      </c>
      <c r="C16" s="310">
        <f t="shared" si="0"/>
        <v>194</v>
      </c>
      <c r="D16" s="178">
        <v>194</v>
      </c>
      <c r="E16" s="312"/>
      <c r="F16" s="312"/>
      <c r="G16" s="313"/>
    </row>
    <row r="17" ht="12.75" customHeight="true" spans="1:7">
      <c r="A17" s="311" t="s">
        <v>1369</v>
      </c>
      <c r="B17" s="311" t="s">
        <v>1370</v>
      </c>
      <c r="C17" s="310">
        <f t="shared" si="0"/>
        <v>260</v>
      </c>
      <c r="D17" s="178">
        <v>260</v>
      </c>
      <c r="E17" s="312"/>
      <c r="F17" s="312"/>
      <c r="G17" s="313"/>
    </row>
    <row r="18" ht="12.75" customHeight="true" spans="1:7">
      <c r="A18" s="311" t="s">
        <v>1371</v>
      </c>
      <c r="B18" s="311" t="s">
        <v>1372</v>
      </c>
      <c r="C18" s="310">
        <f t="shared" si="0"/>
        <v>99</v>
      </c>
      <c r="D18" s="178">
        <v>99</v>
      </c>
      <c r="E18" s="312"/>
      <c r="F18" s="312"/>
      <c r="G18" s="313"/>
    </row>
    <row r="19" ht="12.75" customHeight="true" spans="1:7">
      <c r="A19" s="311" t="s">
        <v>1373</v>
      </c>
      <c r="B19" s="311" t="s">
        <v>1374</v>
      </c>
      <c r="C19" s="310">
        <f t="shared" si="0"/>
        <v>1594</v>
      </c>
      <c r="D19" s="178">
        <v>1594</v>
      </c>
      <c r="E19" s="312"/>
      <c r="F19" s="312"/>
      <c r="G19" s="313"/>
    </row>
    <row r="20" ht="12.75" customHeight="true" spans="1:7">
      <c r="A20" s="311" t="s">
        <v>1375</v>
      </c>
      <c r="B20" s="311" t="s">
        <v>1376</v>
      </c>
      <c r="C20" s="310">
        <f t="shared" si="0"/>
        <v>12</v>
      </c>
      <c r="D20" s="178">
        <v>12</v>
      </c>
      <c r="E20" s="312"/>
      <c r="F20" s="312"/>
      <c r="G20" s="313"/>
    </row>
    <row r="21" ht="12.75" customHeight="true" spans="1:7">
      <c r="A21" s="311" t="s">
        <v>1377</v>
      </c>
      <c r="B21" s="311" t="s">
        <v>1378</v>
      </c>
      <c r="C21" s="310">
        <f t="shared" si="0"/>
        <v>292</v>
      </c>
      <c r="D21" s="178">
        <v>292</v>
      </c>
      <c r="E21" s="312"/>
      <c r="F21" s="312"/>
      <c r="G21" s="313"/>
    </row>
    <row r="22" ht="12.75" customHeight="true" spans="1:7">
      <c r="A22" s="311" t="s">
        <v>1379</v>
      </c>
      <c r="B22" s="311" t="s">
        <v>1380</v>
      </c>
      <c r="C22" s="310">
        <f t="shared" si="0"/>
        <v>632</v>
      </c>
      <c r="D22" s="178">
        <v>632</v>
      </c>
      <c r="E22" s="312"/>
      <c r="F22" s="312"/>
      <c r="G22" s="313"/>
    </row>
    <row r="23" ht="12.75" customHeight="true" spans="1:7">
      <c r="A23" s="311" t="s">
        <v>1381</v>
      </c>
      <c r="B23" s="311" t="s">
        <v>1382</v>
      </c>
      <c r="C23" s="310">
        <f t="shared" si="0"/>
        <v>7221</v>
      </c>
      <c r="D23" s="178">
        <v>4793</v>
      </c>
      <c r="E23" s="312"/>
      <c r="F23" s="312">
        <v>382</v>
      </c>
      <c r="G23" s="178">
        <v>2046</v>
      </c>
    </row>
    <row r="24" ht="12.75" customHeight="true" spans="1:7">
      <c r="A24" s="309" t="s">
        <v>1383</v>
      </c>
      <c r="B24" s="309" t="s">
        <v>1384</v>
      </c>
      <c r="C24" s="310">
        <f t="shared" si="0"/>
        <v>52988</v>
      </c>
      <c r="D24" s="310">
        <f>SUM(D25:D28)</f>
        <v>3862</v>
      </c>
      <c r="E24" s="310">
        <f>SUM(E25:E28)</f>
        <v>0</v>
      </c>
      <c r="F24" s="310">
        <f>SUM(F25:F28)</f>
        <v>10069</v>
      </c>
      <c r="G24" s="310">
        <f>SUM(G25:G28)</f>
        <v>39057</v>
      </c>
    </row>
    <row r="25" ht="12.75" customHeight="true" spans="1:7">
      <c r="A25" s="311" t="s">
        <v>1385</v>
      </c>
      <c r="B25" s="311" t="s">
        <v>1386</v>
      </c>
      <c r="C25" s="310">
        <f t="shared" si="0"/>
        <v>34683</v>
      </c>
      <c r="D25" s="178">
        <v>1612</v>
      </c>
      <c r="E25" s="312"/>
      <c r="F25" s="312">
        <f>3498+180+3020</f>
        <v>6698</v>
      </c>
      <c r="G25" s="312">
        <f>1163+21825+749+380+2256</f>
        <v>26373</v>
      </c>
    </row>
    <row r="26" ht="12.75" customHeight="true" spans="1:7">
      <c r="A26" s="311" t="s">
        <v>1387</v>
      </c>
      <c r="B26" s="311" t="s">
        <v>1388</v>
      </c>
      <c r="C26" s="310">
        <f t="shared" si="0"/>
        <v>51</v>
      </c>
      <c r="D26" s="178">
        <v>51</v>
      </c>
      <c r="E26" s="312"/>
      <c r="F26" s="312"/>
      <c r="G26" s="313"/>
    </row>
    <row r="27" ht="12.75" customHeight="true" spans="1:7">
      <c r="A27" s="177" t="s">
        <v>1389</v>
      </c>
      <c r="B27" s="177" t="s">
        <v>1390</v>
      </c>
      <c r="C27" s="310">
        <f t="shared" si="0"/>
        <v>193</v>
      </c>
      <c r="D27" s="178">
        <v>193</v>
      </c>
      <c r="E27" s="312"/>
      <c r="F27" s="312"/>
      <c r="G27" s="313"/>
    </row>
    <row r="28" ht="12.75" customHeight="true" spans="1:7">
      <c r="A28" s="311" t="s">
        <v>1391</v>
      </c>
      <c r="B28" s="311" t="s">
        <v>1392</v>
      </c>
      <c r="C28" s="310">
        <f t="shared" si="0"/>
        <v>18061</v>
      </c>
      <c r="D28" s="178">
        <v>2006</v>
      </c>
      <c r="E28" s="312"/>
      <c r="F28" s="312">
        <v>3371</v>
      </c>
      <c r="G28" s="312">
        <v>12684</v>
      </c>
    </row>
    <row r="29" ht="12.75" customHeight="true" spans="1:7">
      <c r="A29" s="309" t="s">
        <v>1393</v>
      </c>
      <c r="B29" s="309" t="s">
        <v>1394</v>
      </c>
      <c r="C29" s="310">
        <f t="shared" si="0"/>
        <v>102820</v>
      </c>
      <c r="D29" s="310">
        <f>SUM(D30:D31)</f>
        <v>940</v>
      </c>
      <c r="E29" s="310">
        <f>SUM(E30:E31)</f>
        <v>0</v>
      </c>
      <c r="F29" s="310">
        <f>SUM(F30:F31)</f>
        <v>100000</v>
      </c>
      <c r="G29" s="310">
        <f>SUM(G30:G31)</f>
        <v>1880</v>
      </c>
    </row>
    <row r="30" ht="12.75" customHeight="true" spans="1:7">
      <c r="A30" s="311" t="s">
        <v>1395</v>
      </c>
      <c r="B30" s="311" t="s">
        <v>1386</v>
      </c>
      <c r="C30" s="310">
        <f t="shared" si="0"/>
        <v>102630</v>
      </c>
      <c r="D30" s="178">
        <v>750</v>
      </c>
      <c r="E30" s="312"/>
      <c r="F30" s="312">
        <v>100000</v>
      </c>
      <c r="G30" s="312">
        <v>1880</v>
      </c>
    </row>
    <row r="31" ht="12.75" customHeight="true" spans="1:7">
      <c r="A31" s="311" t="s">
        <v>1396</v>
      </c>
      <c r="B31" s="311" t="s">
        <v>1388</v>
      </c>
      <c r="C31" s="310">
        <f t="shared" si="0"/>
        <v>190</v>
      </c>
      <c r="D31" s="178">
        <v>190</v>
      </c>
      <c r="E31" s="312"/>
      <c r="F31" s="312"/>
      <c r="G31" s="313"/>
    </row>
    <row r="32" ht="12.75" customHeight="true" spans="1:7">
      <c r="A32" s="309" t="s">
        <v>1397</v>
      </c>
      <c r="B32" s="309" t="s">
        <v>1398</v>
      </c>
      <c r="C32" s="310">
        <f t="shared" ref="C32:C49" si="4">SUM(D32:G32)</f>
        <v>73173.004478</v>
      </c>
      <c r="D32" s="310">
        <f t="shared" ref="D32:G32" si="5">SUM(D33:D34)</f>
        <v>73173.004478</v>
      </c>
      <c r="E32" s="310">
        <f t="shared" si="5"/>
        <v>0</v>
      </c>
      <c r="F32" s="310">
        <f t="shared" si="5"/>
        <v>0</v>
      </c>
      <c r="G32" s="310">
        <f t="shared" si="5"/>
        <v>0</v>
      </c>
    </row>
    <row r="33" ht="12.75" customHeight="true" spans="1:7">
      <c r="A33" s="311" t="s">
        <v>1399</v>
      </c>
      <c r="B33" s="311" t="s">
        <v>1400</v>
      </c>
      <c r="C33" s="310">
        <f t="shared" si="4"/>
        <v>65925.004478</v>
      </c>
      <c r="D33" s="178">
        <v>65925.004478</v>
      </c>
      <c r="E33" s="312"/>
      <c r="F33" s="312"/>
      <c r="G33" s="313"/>
    </row>
    <row r="34" ht="12.75" customHeight="true" spans="1:7">
      <c r="A34" s="311" t="s">
        <v>1401</v>
      </c>
      <c r="B34" s="311" t="s">
        <v>1402</v>
      </c>
      <c r="C34" s="310">
        <f t="shared" si="4"/>
        <v>7248</v>
      </c>
      <c r="D34" s="178">
        <v>7248</v>
      </c>
      <c r="E34" s="312"/>
      <c r="F34" s="312"/>
      <c r="G34" s="313"/>
    </row>
    <row r="35" ht="12.75" customHeight="true" spans="1:7">
      <c r="A35" s="309" t="s">
        <v>1403</v>
      </c>
      <c r="B35" s="309" t="s">
        <v>1404</v>
      </c>
      <c r="C35" s="310">
        <f t="shared" si="4"/>
        <v>175</v>
      </c>
      <c r="D35" s="310">
        <f t="shared" ref="D35:G35" si="6">SUM(D36:D37)</f>
        <v>175</v>
      </c>
      <c r="E35" s="310">
        <f t="shared" si="6"/>
        <v>0</v>
      </c>
      <c r="F35" s="310">
        <f t="shared" si="6"/>
        <v>0</v>
      </c>
      <c r="G35" s="310">
        <f t="shared" si="6"/>
        <v>0</v>
      </c>
    </row>
    <row r="36" ht="12.75" customHeight="true" spans="1:7">
      <c r="A36" s="311" t="s">
        <v>1405</v>
      </c>
      <c r="B36" s="177" t="s">
        <v>1406</v>
      </c>
      <c r="C36" s="310">
        <f t="shared" si="4"/>
        <v>159</v>
      </c>
      <c r="D36" s="178">
        <v>159</v>
      </c>
      <c r="E36" s="312"/>
      <c r="F36" s="312"/>
      <c r="G36" s="313"/>
    </row>
    <row r="37" ht="12.75" customHeight="true" spans="1:7">
      <c r="A37" s="311" t="s">
        <v>1407</v>
      </c>
      <c r="B37" s="177" t="s">
        <v>1408</v>
      </c>
      <c r="C37" s="310">
        <f t="shared" si="4"/>
        <v>16</v>
      </c>
      <c r="D37" s="178">
        <v>16</v>
      </c>
      <c r="E37" s="312"/>
      <c r="F37" s="312"/>
      <c r="G37" s="313"/>
    </row>
    <row r="38" ht="12.75" customHeight="true" spans="1:7">
      <c r="A38" s="309" t="s">
        <v>1409</v>
      </c>
      <c r="B38" s="309" t="s">
        <v>1410</v>
      </c>
      <c r="C38" s="310">
        <f t="shared" si="4"/>
        <v>7414</v>
      </c>
      <c r="D38" s="310">
        <f t="shared" ref="D38:G38" si="7">SUM(D39:D40)</f>
        <v>271</v>
      </c>
      <c r="E38" s="310">
        <f t="shared" si="7"/>
        <v>0</v>
      </c>
      <c r="F38" s="310">
        <f t="shared" si="7"/>
        <v>1071</v>
      </c>
      <c r="G38" s="310">
        <f t="shared" si="7"/>
        <v>6072</v>
      </c>
    </row>
    <row r="39" ht="12.75" customHeight="true" spans="1:7">
      <c r="A39" s="311" t="s">
        <v>1411</v>
      </c>
      <c r="B39" s="311" t="s">
        <v>1412</v>
      </c>
      <c r="C39" s="310">
        <f t="shared" si="4"/>
        <v>150</v>
      </c>
      <c r="D39" s="178">
        <v>150</v>
      </c>
      <c r="E39" s="312"/>
      <c r="F39" s="312"/>
      <c r="G39" s="313"/>
    </row>
    <row r="40" ht="12.75" customHeight="true" spans="1:7">
      <c r="A40" s="311" t="s">
        <v>1413</v>
      </c>
      <c r="B40" s="311" t="s">
        <v>1414</v>
      </c>
      <c r="C40" s="310">
        <f t="shared" si="4"/>
        <v>7264</v>
      </c>
      <c r="D40" s="178">
        <v>121</v>
      </c>
      <c r="E40" s="312"/>
      <c r="F40" s="312">
        <f>469+132+470</f>
        <v>1071</v>
      </c>
      <c r="G40" s="312">
        <f>344+1761+767+5+3195</f>
        <v>6072</v>
      </c>
    </row>
    <row r="41" ht="12.75" customHeight="true" spans="1:7">
      <c r="A41" s="309" t="s">
        <v>1415</v>
      </c>
      <c r="B41" s="309" t="s">
        <v>1416</v>
      </c>
      <c r="C41" s="310">
        <f t="shared" si="4"/>
        <v>122566</v>
      </c>
      <c r="D41" s="310">
        <f>SUM(D42:D44)</f>
        <v>32679</v>
      </c>
      <c r="E41" s="310">
        <f>SUM(E42:E44)</f>
        <v>0</v>
      </c>
      <c r="F41" s="310">
        <f>SUM(F42:F44)</f>
        <v>78184</v>
      </c>
      <c r="G41" s="310">
        <f>SUM(G42:G44)</f>
        <v>11703</v>
      </c>
    </row>
    <row r="42" ht="12.75" customHeight="true" spans="1:7">
      <c r="A42" s="311" t="s">
        <v>1417</v>
      </c>
      <c r="B42" s="311" t="s">
        <v>1418</v>
      </c>
      <c r="C42" s="310">
        <f t="shared" si="4"/>
        <v>21602</v>
      </c>
      <c r="D42" s="178">
        <f>1240+20362</f>
        <v>21602</v>
      </c>
      <c r="E42" s="312"/>
      <c r="F42" s="312"/>
      <c r="G42" s="313"/>
    </row>
    <row r="43" ht="12.75" customHeight="true" spans="1:7">
      <c r="A43" s="311" t="s">
        <v>1419</v>
      </c>
      <c r="B43" s="311" t="s">
        <v>1420</v>
      </c>
      <c r="C43" s="310">
        <f t="shared" si="4"/>
        <v>1006</v>
      </c>
      <c r="D43" s="178">
        <v>1006</v>
      </c>
      <c r="E43" s="312"/>
      <c r="F43" s="312"/>
      <c r="G43" s="313"/>
    </row>
    <row r="44" ht="12.75" customHeight="true" spans="1:7">
      <c r="A44" s="311" t="s">
        <v>1421</v>
      </c>
      <c r="B44" s="311" t="s">
        <v>1422</v>
      </c>
      <c r="C44" s="310">
        <f t="shared" si="4"/>
        <v>99958</v>
      </c>
      <c r="D44" s="178">
        <v>10071</v>
      </c>
      <c r="E44" s="312"/>
      <c r="F44" s="312">
        <f>8968+69216</f>
        <v>78184</v>
      </c>
      <c r="G44" s="312">
        <f>2625+9078</f>
        <v>11703</v>
      </c>
    </row>
    <row r="45" ht="12.75" customHeight="true" spans="1:7">
      <c r="A45" s="309" t="s">
        <v>1423</v>
      </c>
      <c r="B45" s="309" t="s">
        <v>1424</v>
      </c>
      <c r="C45" s="310">
        <f t="shared" si="4"/>
        <v>20980</v>
      </c>
      <c r="D45" s="310">
        <f t="shared" ref="D45:G45" si="8">SUM(D46)</f>
        <v>20980</v>
      </c>
      <c r="E45" s="310">
        <f t="shared" si="8"/>
        <v>0</v>
      </c>
      <c r="F45" s="310">
        <f t="shared" si="8"/>
        <v>0</v>
      </c>
      <c r="G45" s="310">
        <f t="shared" si="8"/>
        <v>0</v>
      </c>
    </row>
    <row r="46" ht="12.75" customHeight="true" spans="1:7">
      <c r="A46" s="311" t="s">
        <v>1425</v>
      </c>
      <c r="B46" s="311" t="s">
        <v>1426</v>
      </c>
      <c r="C46" s="310">
        <f t="shared" si="4"/>
        <v>20980</v>
      </c>
      <c r="D46" s="312">
        <v>20980</v>
      </c>
      <c r="E46" s="312"/>
      <c r="F46" s="312"/>
      <c r="G46" s="313"/>
    </row>
    <row r="47" ht="12.75" customHeight="true" spans="1:7">
      <c r="A47" s="309" t="s">
        <v>1427</v>
      </c>
      <c r="B47" s="309" t="s">
        <v>1276</v>
      </c>
      <c r="C47" s="310">
        <f t="shared" si="4"/>
        <v>2647</v>
      </c>
      <c r="D47" s="310">
        <f t="shared" ref="D47:G47" si="9">SUM(D48)</f>
        <v>2547</v>
      </c>
      <c r="E47" s="310">
        <f t="shared" si="9"/>
        <v>0</v>
      </c>
      <c r="F47" s="310">
        <f t="shared" si="9"/>
        <v>0</v>
      </c>
      <c r="G47" s="310">
        <f t="shared" si="9"/>
        <v>100</v>
      </c>
    </row>
    <row r="48" ht="12.75" customHeight="true" spans="1:7">
      <c r="A48" s="311" t="s">
        <v>1428</v>
      </c>
      <c r="B48" s="311" t="s">
        <v>1429</v>
      </c>
      <c r="C48" s="310">
        <f t="shared" si="4"/>
        <v>2647</v>
      </c>
      <c r="D48" s="312">
        <v>2547</v>
      </c>
      <c r="E48" s="312"/>
      <c r="F48" s="312"/>
      <c r="G48" s="313">
        <v>100</v>
      </c>
    </row>
    <row r="49" spans="4:4">
      <c r="D49" s="168" t="s">
        <v>87</v>
      </c>
    </row>
  </sheetData>
  <mergeCells count="10">
    <mergeCell ref="A2:G2"/>
    <mergeCell ref="A3:F3"/>
    <mergeCell ref="D4:F4"/>
    <mergeCell ref="A4:A7"/>
    <mergeCell ref="B4:B7"/>
    <mergeCell ref="C4:C7"/>
    <mergeCell ref="D5:D7"/>
    <mergeCell ref="E5:E7"/>
    <mergeCell ref="F5:F7"/>
    <mergeCell ref="G5:G7"/>
  </mergeCells>
  <pageMargins left="0.75" right="0.75" top="1" bottom="1" header="0.5" footer="0.5"/>
  <pageSetup paperSize="1" orientation="portrait"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showGridLines="0" zoomScale="130" zoomScaleNormal="130" workbookViewId="0">
      <selection activeCell="A2" sqref="A2:F2"/>
    </sheetView>
  </sheetViews>
  <sheetFormatPr defaultColWidth="8" defaultRowHeight="13.5" outlineLevelCol="5"/>
  <cols>
    <col min="1" max="1" width="15.875" style="168" customWidth="true"/>
    <col min="2" max="2" width="23.625" style="168" customWidth="true"/>
    <col min="3" max="3" width="11.625" style="168" customWidth="true"/>
    <col min="4" max="4" width="12" style="168" customWidth="true"/>
    <col min="5" max="5" width="14.5" style="168" customWidth="true"/>
    <col min="6" max="6" width="12.625" style="168" customWidth="true"/>
    <col min="7" max="7" width="8" style="168" customWidth="true"/>
    <col min="8" max="16384" width="8" style="168"/>
  </cols>
  <sheetData>
    <row r="1" ht="14.25" spans="1:1">
      <c r="A1" s="185" t="s">
        <v>1345</v>
      </c>
    </row>
    <row r="2" ht="20.25" customHeight="true" spans="1:6">
      <c r="A2" s="170" t="s">
        <v>1430</v>
      </c>
      <c r="B2" s="170"/>
      <c r="C2" s="170"/>
      <c r="D2" s="170"/>
      <c r="E2" s="170"/>
      <c r="F2" s="170"/>
    </row>
    <row r="3" ht="14.25" customHeight="true" spans="1:6">
      <c r="A3" s="298" t="s">
        <v>1347</v>
      </c>
      <c r="B3" s="298"/>
      <c r="C3" s="298"/>
      <c r="D3" s="298"/>
      <c r="E3" s="298"/>
      <c r="F3" s="298"/>
    </row>
    <row r="4" ht="14.25" customHeight="true" spans="1:6">
      <c r="A4" s="299" t="s">
        <v>1348</v>
      </c>
      <c r="B4" s="299" t="s">
        <v>1349</v>
      </c>
      <c r="C4" s="299" t="s">
        <v>1312</v>
      </c>
      <c r="D4" s="299" t="s">
        <v>1431</v>
      </c>
      <c r="E4" s="299"/>
      <c r="F4" s="299"/>
    </row>
    <row r="5" ht="14.25" customHeight="true" spans="1:6">
      <c r="A5" s="300"/>
      <c r="B5" s="300"/>
      <c r="C5" s="299"/>
      <c r="D5" s="299" t="s">
        <v>1350</v>
      </c>
      <c r="E5" s="299" t="s">
        <v>1351</v>
      </c>
      <c r="F5" s="299" t="s">
        <v>1352</v>
      </c>
    </row>
    <row r="6" ht="14.25" customHeight="true" spans="1:6">
      <c r="A6" s="300"/>
      <c r="B6" s="300"/>
      <c r="C6" s="299"/>
      <c r="D6" s="301"/>
      <c r="E6" s="301"/>
      <c r="F6" s="301"/>
    </row>
    <row r="7" ht="12.75" customHeight="true" spans="1:6">
      <c r="A7" s="302"/>
      <c r="B7" s="302" t="s">
        <v>1312</v>
      </c>
      <c r="C7" s="176">
        <f>C8+C13+C23+C26+C29+C31+C33</f>
        <v>135010</v>
      </c>
      <c r="D7" s="176">
        <f>D8+D13+D23+D26+D29+D31+D33</f>
        <v>135010</v>
      </c>
      <c r="E7" s="176"/>
      <c r="F7" s="176"/>
    </row>
    <row r="8" ht="12.75" customHeight="true" spans="1:6">
      <c r="A8" s="302" t="s">
        <v>1353</v>
      </c>
      <c r="B8" s="302" t="s">
        <v>1354</v>
      </c>
      <c r="C8" s="176">
        <f>SUM(C9:C12)</f>
        <v>69025</v>
      </c>
      <c r="D8" s="176">
        <f>SUM(D9:D12)</f>
        <v>69025</v>
      </c>
      <c r="E8" s="176"/>
      <c r="F8" s="176"/>
    </row>
    <row r="9" ht="12.75" customHeight="true" spans="1:6">
      <c r="A9" s="303" t="s">
        <v>1355</v>
      </c>
      <c r="B9" s="303" t="s">
        <v>1356</v>
      </c>
      <c r="C9" s="178">
        <f>D9</f>
        <v>47395</v>
      </c>
      <c r="D9" s="178">
        <v>47395</v>
      </c>
      <c r="E9" s="178"/>
      <c r="F9" s="178"/>
    </row>
    <row r="10" ht="12.75" customHeight="true" spans="1:6">
      <c r="A10" s="303" t="s">
        <v>1357</v>
      </c>
      <c r="B10" s="303" t="s">
        <v>1358</v>
      </c>
      <c r="C10" s="178">
        <f>D10</f>
        <v>11460</v>
      </c>
      <c r="D10" s="178">
        <v>11460</v>
      </c>
      <c r="E10" s="178"/>
      <c r="F10" s="178"/>
    </row>
    <row r="11" ht="12.75" customHeight="true" spans="1:6">
      <c r="A11" s="303" t="s">
        <v>1359</v>
      </c>
      <c r="B11" s="303" t="s">
        <v>1360</v>
      </c>
      <c r="C11" s="178">
        <f>D11</f>
        <v>6362</v>
      </c>
      <c r="D11" s="178">
        <v>6362</v>
      </c>
      <c r="E11" s="178"/>
      <c r="F11" s="178"/>
    </row>
    <row r="12" ht="12.75" customHeight="true" spans="1:6">
      <c r="A12" s="303" t="s">
        <v>1361</v>
      </c>
      <c r="B12" s="303" t="s">
        <v>1362</v>
      </c>
      <c r="C12" s="178">
        <f>D12</f>
        <v>3808</v>
      </c>
      <c r="D12" s="178">
        <v>3808</v>
      </c>
      <c r="E12" s="178"/>
      <c r="F12" s="178"/>
    </row>
    <row r="13" ht="12.75" customHeight="true" spans="1:6">
      <c r="A13" s="302" t="s">
        <v>1363</v>
      </c>
      <c r="B13" s="302" t="s">
        <v>1364</v>
      </c>
      <c r="C13" s="176">
        <f>SUM(C14:C22)</f>
        <v>5350</v>
      </c>
      <c r="D13" s="176">
        <f>SUM(D14:D22)</f>
        <v>5350</v>
      </c>
      <c r="E13" s="176"/>
      <c r="F13" s="176"/>
    </row>
    <row r="14" ht="12.75" customHeight="true" spans="1:6">
      <c r="A14" s="303" t="s">
        <v>1365</v>
      </c>
      <c r="B14" s="303" t="s">
        <v>1366</v>
      </c>
      <c r="C14" s="178">
        <f t="shared" ref="C13:C36" si="0">D14</f>
        <v>3898</v>
      </c>
      <c r="D14" s="178">
        <v>3898</v>
      </c>
      <c r="E14" s="178"/>
      <c r="F14" s="178"/>
    </row>
    <row r="15" ht="12.75" customHeight="true" spans="1:6">
      <c r="A15" s="303" t="s">
        <v>1367</v>
      </c>
      <c r="B15" s="303" t="s">
        <v>1368</v>
      </c>
      <c r="C15" s="178">
        <f t="shared" si="0"/>
        <v>10</v>
      </c>
      <c r="D15" s="178">
        <v>10</v>
      </c>
      <c r="E15" s="178"/>
      <c r="F15" s="178"/>
    </row>
    <row r="16" ht="12.75" customHeight="true" spans="1:6">
      <c r="A16" s="303" t="s">
        <v>1369</v>
      </c>
      <c r="B16" s="303" t="s">
        <v>1370</v>
      </c>
      <c r="C16" s="178">
        <f t="shared" si="0"/>
        <v>14</v>
      </c>
      <c r="D16" s="178">
        <v>14</v>
      </c>
      <c r="E16" s="178"/>
      <c r="F16" s="178"/>
    </row>
    <row r="17" ht="12.75" customHeight="true" spans="1:6">
      <c r="A17" s="303" t="s">
        <v>1371</v>
      </c>
      <c r="B17" s="303" t="s">
        <v>1372</v>
      </c>
      <c r="C17" s="178">
        <f t="shared" si="0"/>
        <v>4</v>
      </c>
      <c r="D17" s="178">
        <v>4</v>
      </c>
      <c r="E17" s="178"/>
      <c r="F17" s="178"/>
    </row>
    <row r="18" ht="12.75" customHeight="true" spans="1:6">
      <c r="A18" s="303" t="s">
        <v>1373</v>
      </c>
      <c r="B18" s="303" t="s">
        <v>1374</v>
      </c>
      <c r="C18" s="178">
        <f t="shared" si="0"/>
        <v>527</v>
      </c>
      <c r="D18" s="178">
        <v>527</v>
      </c>
      <c r="E18" s="178"/>
      <c r="F18" s="178"/>
    </row>
    <row r="19" ht="12.75" customHeight="true" spans="1:6">
      <c r="A19" s="303" t="s">
        <v>1375</v>
      </c>
      <c r="B19" s="303" t="s">
        <v>1376</v>
      </c>
      <c r="C19" s="178">
        <f t="shared" si="0"/>
        <v>7</v>
      </c>
      <c r="D19" s="178">
        <v>7</v>
      </c>
      <c r="E19" s="178"/>
      <c r="F19" s="178"/>
    </row>
    <row r="20" ht="12.75" customHeight="true" spans="1:6">
      <c r="A20" s="303" t="s">
        <v>1377</v>
      </c>
      <c r="B20" s="303" t="s">
        <v>1378</v>
      </c>
      <c r="C20" s="178">
        <f t="shared" si="0"/>
        <v>46</v>
      </c>
      <c r="D20" s="178">
        <v>46</v>
      </c>
      <c r="E20" s="178"/>
      <c r="F20" s="178"/>
    </row>
    <row r="21" ht="12.75" customHeight="true" spans="1:6">
      <c r="A21" s="303" t="s">
        <v>1379</v>
      </c>
      <c r="B21" s="303" t="s">
        <v>1380</v>
      </c>
      <c r="C21" s="178">
        <f t="shared" si="0"/>
        <v>336</v>
      </c>
      <c r="D21" s="178">
        <v>336</v>
      </c>
      <c r="E21" s="178"/>
      <c r="F21" s="178"/>
    </row>
    <row r="22" ht="12.75" customHeight="true" spans="1:6">
      <c r="A22" s="303" t="s">
        <v>1381</v>
      </c>
      <c r="B22" s="303" t="s">
        <v>1382</v>
      </c>
      <c r="C22" s="178">
        <f t="shared" si="0"/>
        <v>508</v>
      </c>
      <c r="D22" s="178">
        <v>508</v>
      </c>
      <c r="E22" s="178"/>
      <c r="F22" s="178"/>
    </row>
    <row r="23" ht="12.75" customHeight="true" spans="1:6">
      <c r="A23" s="302" t="s">
        <v>1383</v>
      </c>
      <c r="B23" s="302" t="s">
        <v>1384</v>
      </c>
      <c r="C23" s="176">
        <f>C24+C25</f>
        <v>27</v>
      </c>
      <c r="D23" s="176">
        <f>D24+D25</f>
        <v>27</v>
      </c>
      <c r="E23" s="176"/>
      <c r="F23" s="176"/>
    </row>
    <row r="24" ht="12.75" customHeight="true" spans="1:6">
      <c r="A24" s="303" t="s">
        <v>1387</v>
      </c>
      <c r="B24" s="303" t="s">
        <v>1388</v>
      </c>
      <c r="C24" s="178">
        <f t="shared" si="0"/>
        <v>24</v>
      </c>
      <c r="D24" s="178">
        <v>24</v>
      </c>
      <c r="E24" s="178"/>
      <c r="F24" s="178"/>
    </row>
    <row r="25" ht="12.75" customHeight="true" spans="1:6">
      <c r="A25" s="177" t="s">
        <v>1389</v>
      </c>
      <c r="B25" s="177" t="s">
        <v>1390</v>
      </c>
      <c r="C25" s="178">
        <f t="shared" si="0"/>
        <v>3</v>
      </c>
      <c r="D25" s="178">
        <v>3</v>
      </c>
      <c r="E25" s="178"/>
      <c r="F25" s="178"/>
    </row>
    <row r="26" ht="12.75" customHeight="true" spans="1:6">
      <c r="A26" s="302" t="s">
        <v>1397</v>
      </c>
      <c r="B26" s="302" t="s">
        <v>1398</v>
      </c>
      <c r="C26" s="176">
        <f>C27+C28</f>
        <v>59801</v>
      </c>
      <c r="D26" s="176">
        <f>D27+D28</f>
        <v>59801</v>
      </c>
      <c r="E26" s="176"/>
      <c r="F26" s="176"/>
    </row>
    <row r="27" ht="12.75" customHeight="true" spans="1:6">
      <c r="A27" s="303" t="s">
        <v>1399</v>
      </c>
      <c r="B27" s="303" t="s">
        <v>1400</v>
      </c>
      <c r="C27" s="178">
        <f t="shared" si="0"/>
        <v>57485</v>
      </c>
      <c r="D27" s="178">
        <v>57485</v>
      </c>
      <c r="E27" s="178"/>
      <c r="F27" s="178"/>
    </row>
    <row r="28" ht="12.75" customHeight="true" spans="1:6">
      <c r="A28" s="303" t="s">
        <v>1401</v>
      </c>
      <c r="B28" s="303" t="s">
        <v>1402</v>
      </c>
      <c r="C28" s="178">
        <f t="shared" si="0"/>
        <v>2316</v>
      </c>
      <c r="D28" s="178">
        <v>2316</v>
      </c>
      <c r="E28" s="178"/>
      <c r="F28" s="178"/>
    </row>
    <row r="29" ht="12.75" customHeight="true" spans="1:6">
      <c r="A29" s="302" t="s">
        <v>1403</v>
      </c>
      <c r="B29" s="302" t="s">
        <v>1404</v>
      </c>
      <c r="C29" s="176">
        <f>C30</f>
        <v>153</v>
      </c>
      <c r="D29" s="176">
        <f>D30</f>
        <v>153</v>
      </c>
      <c r="E29" s="176"/>
      <c r="F29" s="176"/>
    </row>
    <row r="30" ht="12.75" customHeight="true" spans="1:6">
      <c r="A30" s="303" t="s">
        <v>1405</v>
      </c>
      <c r="B30" s="303" t="s">
        <v>1406</v>
      </c>
      <c r="C30" s="178">
        <f t="shared" si="0"/>
        <v>153</v>
      </c>
      <c r="D30" s="178">
        <v>153</v>
      </c>
      <c r="E30" s="178"/>
      <c r="F30" s="178"/>
    </row>
    <row r="31" ht="12.75" customHeight="true" spans="1:6">
      <c r="A31" s="302" t="s">
        <v>1409</v>
      </c>
      <c r="B31" s="302" t="s">
        <v>1410</v>
      </c>
      <c r="C31" s="176">
        <f>C32</f>
        <v>121</v>
      </c>
      <c r="D31" s="176">
        <f>D32</f>
        <v>121</v>
      </c>
      <c r="E31" s="176"/>
      <c r="F31" s="176"/>
    </row>
    <row r="32" ht="12.75" customHeight="true" spans="1:6">
      <c r="A32" s="303" t="s">
        <v>1413</v>
      </c>
      <c r="B32" s="303" t="s">
        <v>1414</v>
      </c>
      <c r="C32" s="178">
        <f t="shared" si="0"/>
        <v>121</v>
      </c>
      <c r="D32" s="178">
        <v>121</v>
      </c>
      <c r="E32" s="178"/>
      <c r="F32" s="178"/>
    </row>
    <row r="33" ht="12.75" customHeight="true" spans="1:6">
      <c r="A33" s="302" t="s">
        <v>1415</v>
      </c>
      <c r="B33" s="302" t="s">
        <v>1416</v>
      </c>
      <c r="C33" s="176">
        <f>C34+C35+C36</f>
        <v>533</v>
      </c>
      <c r="D33" s="176">
        <f>D34+D35+D36</f>
        <v>533</v>
      </c>
      <c r="E33" s="176"/>
      <c r="F33" s="176"/>
    </row>
    <row r="34" ht="12.75" customHeight="true" spans="1:6">
      <c r="A34" s="303" t="s">
        <v>1417</v>
      </c>
      <c r="B34" s="303" t="s">
        <v>1418</v>
      </c>
      <c r="C34" s="178">
        <f t="shared" si="0"/>
        <v>205</v>
      </c>
      <c r="D34" s="178">
        <v>205</v>
      </c>
      <c r="E34" s="178"/>
      <c r="F34" s="178"/>
    </row>
    <row r="35" ht="12.75" customHeight="true" spans="1:6">
      <c r="A35" s="303" t="s">
        <v>1419</v>
      </c>
      <c r="B35" s="303" t="s">
        <v>1420</v>
      </c>
      <c r="C35" s="178">
        <f t="shared" si="0"/>
        <v>276</v>
      </c>
      <c r="D35" s="178">
        <v>276</v>
      </c>
      <c r="E35" s="178"/>
      <c r="F35" s="178"/>
    </row>
    <row r="36" ht="12.75" customHeight="true" spans="1:6">
      <c r="A36" s="303" t="s">
        <v>1421</v>
      </c>
      <c r="B36" s="303" t="s">
        <v>1422</v>
      </c>
      <c r="C36" s="178">
        <f t="shared" si="0"/>
        <v>52</v>
      </c>
      <c r="D36" s="178">
        <v>52</v>
      </c>
      <c r="E36" s="178"/>
      <c r="F36" s="178"/>
    </row>
  </sheetData>
  <mergeCells count="9">
    <mergeCell ref="A2:F2"/>
    <mergeCell ref="A3:F3"/>
    <mergeCell ref="D4:F4"/>
    <mergeCell ref="A4:A6"/>
    <mergeCell ref="B4:B6"/>
    <mergeCell ref="C4:C6"/>
    <mergeCell ref="D5:D6"/>
    <mergeCell ref="E5:E6"/>
    <mergeCell ref="F5:F6"/>
  </mergeCells>
  <pageMargins left="0.75" right="0.75" top="1" bottom="1" header="0.5" footer="0.5"/>
  <pageSetup paperSize="1" orientation="portrait"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O15"/>
  <sheetViews>
    <sheetView showGridLines="0" showZeros="0" workbookViewId="0">
      <selection activeCell="A7" sqref="$A7:$XFD10"/>
    </sheetView>
  </sheetViews>
  <sheetFormatPr defaultColWidth="5.75" defaultRowHeight="13.5"/>
  <cols>
    <col min="1" max="1" width="15.125" style="258" customWidth="true"/>
    <col min="2" max="2" width="10.25" style="275" customWidth="true"/>
    <col min="3" max="3" width="9.25" style="275" customWidth="true"/>
    <col min="4" max="4" width="7.75" style="275" customWidth="true"/>
    <col min="5" max="5" width="10.25" style="275" customWidth="true"/>
    <col min="6" max="6" width="7.625" style="275" customWidth="true"/>
    <col min="7" max="7" width="8.5" style="275" customWidth="true"/>
    <col min="8" max="9" width="6.125" style="275" customWidth="true"/>
    <col min="10" max="10" width="3.75" style="276" customWidth="true"/>
    <col min="11" max="11" width="7.875" style="275" customWidth="true"/>
    <col min="12" max="12" width="9.125" style="276" customWidth="true"/>
    <col min="13" max="13" width="10.75" style="276" customWidth="true"/>
    <col min="14" max="14" width="3.75" style="276" customWidth="true"/>
    <col min="15" max="15" width="3.75" style="275" customWidth="true"/>
    <col min="16" max="16" width="7.5" style="275" customWidth="true"/>
    <col min="17" max="17" width="4.875" style="275" customWidth="true"/>
    <col min="18" max="18" width="3.75" style="275" customWidth="true"/>
    <col min="19" max="19" width="3.75" style="276" customWidth="true"/>
    <col min="20" max="21" width="7.625" style="276" customWidth="true"/>
    <col min="22" max="22" width="5.75" style="276" customWidth="true"/>
    <col min="23" max="23" width="8.875" style="275" customWidth="true"/>
    <col min="24" max="25" width="8.625" style="275" customWidth="true"/>
    <col min="26" max="26" width="6.625" style="275" customWidth="true"/>
    <col min="27" max="27" width="3.75" style="275" customWidth="true"/>
    <col min="28" max="29" width="9.375" style="275" customWidth="true"/>
    <col min="30" max="33" width="3.75" style="275" customWidth="true"/>
    <col min="34" max="34" width="6.875" style="275" customWidth="true"/>
    <col min="35" max="37" width="3.75" style="275" customWidth="true"/>
    <col min="38" max="38" width="7.375" style="258"/>
    <col min="39" max="16384" width="5.75" style="258"/>
  </cols>
  <sheetData>
    <row r="1" ht="14.25" spans="1:7">
      <c r="A1" s="185" t="s">
        <v>1432</v>
      </c>
      <c r="G1" s="185"/>
    </row>
    <row r="2" s="257" customFormat="true" ht="28.5" customHeight="true" spans="1:37">
      <c r="A2" s="186" t="s">
        <v>1433</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ht="17.1" customHeight="true" spans="1:37">
      <c r="A3" s="277" t="s">
        <v>3</v>
      </c>
      <c r="B3" s="278"/>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row>
    <row r="4" ht="18" customHeight="true" spans="1:41">
      <c r="A4" s="264" t="s">
        <v>1434</v>
      </c>
      <c r="B4" s="280" t="s">
        <v>1435</v>
      </c>
      <c r="C4" s="281" t="s">
        <v>1351</v>
      </c>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97"/>
    </row>
    <row r="5" ht="307" customHeight="true" spans="1:41">
      <c r="A5" s="266"/>
      <c r="B5" s="283"/>
      <c r="C5" s="267" t="s">
        <v>1436</v>
      </c>
      <c r="D5" s="284" t="s">
        <v>1437</v>
      </c>
      <c r="E5" s="292" t="s">
        <v>1438</v>
      </c>
      <c r="F5" s="293" t="s">
        <v>1439</v>
      </c>
      <c r="G5" s="293" t="s">
        <v>1440</v>
      </c>
      <c r="H5" s="293" t="s">
        <v>1441</v>
      </c>
      <c r="I5" s="293" t="s">
        <v>1442</v>
      </c>
      <c r="J5" s="293" t="s">
        <v>1443</v>
      </c>
      <c r="K5" s="293" t="s">
        <v>1444</v>
      </c>
      <c r="L5" s="293" t="s">
        <v>1445</v>
      </c>
      <c r="M5" s="293" t="s">
        <v>1446</v>
      </c>
      <c r="N5" s="293" t="s">
        <v>1447</v>
      </c>
      <c r="O5" s="293" t="s">
        <v>1448</v>
      </c>
      <c r="P5" s="293" t="s">
        <v>104</v>
      </c>
      <c r="Q5" s="295" t="s">
        <v>1449</v>
      </c>
      <c r="R5" s="295" t="s">
        <v>1450</v>
      </c>
      <c r="S5" s="295" t="s">
        <v>1451</v>
      </c>
      <c r="T5" s="295" t="s">
        <v>1452</v>
      </c>
      <c r="U5" s="295" t="s">
        <v>1453</v>
      </c>
      <c r="V5" s="295" t="s">
        <v>1454</v>
      </c>
      <c r="W5" s="295" t="s">
        <v>1455</v>
      </c>
      <c r="X5" s="295" t="s">
        <v>1456</v>
      </c>
      <c r="Y5" s="295" t="s">
        <v>1457</v>
      </c>
      <c r="Z5" s="295" t="s">
        <v>1458</v>
      </c>
      <c r="AA5" s="295" t="s">
        <v>1459</v>
      </c>
      <c r="AB5" s="295" t="s">
        <v>1460</v>
      </c>
      <c r="AC5" s="295" t="s">
        <v>1461</v>
      </c>
      <c r="AD5" s="295" t="s">
        <v>1462</v>
      </c>
      <c r="AE5" s="295" t="s">
        <v>1463</v>
      </c>
      <c r="AF5" s="295" t="s">
        <v>1464</v>
      </c>
      <c r="AG5" s="295" t="s">
        <v>1465</v>
      </c>
      <c r="AH5" s="295" t="s">
        <v>1466</v>
      </c>
      <c r="AI5" s="295" t="s">
        <v>1467</v>
      </c>
      <c r="AJ5" s="295" t="s">
        <v>1468</v>
      </c>
      <c r="AK5" s="295" t="s">
        <v>1469</v>
      </c>
      <c r="AL5" s="293" t="s">
        <v>1470</v>
      </c>
      <c r="AM5" s="293" t="s">
        <v>1471</v>
      </c>
      <c r="AN5" s="293" t="s">
        <v>1472</v>
      </c>
      <c r="AO5" s="293" t="s">
        <v>1473</v>
      </c>
    </row>
    <row r="6" s="259" customFormat="true" ht="17.25" customHeight="true" spans="1:41">
      <c r="A6" s="285" t="s">
        <v>1312</v>
      </c>
      <c r="B6" s="286">
        <f>SUM(B7:B8)</f>
        <v>632171</v>
      </c>
      <c r="C6" s="286">
        <f>SUM(C7:C8)</f>
        <v>517951</v>
      </c>
      <c r="D6" s="286">
        <f t="shared" ref="D6:AO6" si="0">SUM(D7:D8)</f>
        <v>566</v>
      </c>
      <c r="E6" s="286">
        <f t="shared" si="0"/>
        <v>254872</v>
      </c>
      <c r="F6" s="286">
        <f t="shared" si="0"/>
        <v>20307</v>
      </c>
      <c r="G6" s="286">
        <f t="shared" si="0"/>
        <v>1331</v>
      </c>
      <c r="H6" s="286">
        <f t="shared" si="0"/>
        <v>616</v>
      </c>
      <c r="I6" s="286">
        <f t="shared" si="0"/>
        <v>508</v>
      </c>
      <c r="J6" s="286">
        <f t="shared" si="0"/>
        <v>0</v>
      </c>
      <c r="K6" s="286">
        <f t="shared" si="0"/>
        <v>19082</v>
      </c>
      <c r="L6" s="286">
        <f t="shared" si="0"/>
        <v>28093</v>
      </c>
      <c r="M6" s="286">
        <f t="shared" si="0"/>
        <v>2138</v>
      </c>
      <c r="N6" s="286">
        <f t="shared" si="0"/>
        <v>0</v>
      </c>
      <c r="O6" s="286">
        <f t="shared" si="0"/>
        <v>0</v>
      </c>
      <c r="P6" s="286">
        <f t="shared" si="0"/>
        <v>36221</v>
      </c>
      <c r="Q6" s="286">
        <f t="shared" si="0"/>
        <v>0</v>
      </c>
      <c r="R6" s="286">
        <f t="shared" si="0"/>
        <v>0</v>
      </c>
      <c r="S6" s="286">
        <f t="shared" si="0"/>
        <v>0</v>
      </c>
      <c r="T6" s="286">
        <f t="shared" si="0"/>
        <v>867</v>
      </c>
      <c r="U6" s="286">
        <f t="shared" si="0"/>
        <v>4610</v>
      </c>
      <c r="V6" s="286">
        <f t="shared" si="0"/>
        <v>650</v>
      </c>
      <c r="W6" s="286">
        <f t="shared" si="0"/>
        <v>1863</v>
      </c>
      <c r="X6" s="286">
        <f t="shared" si="0"/>
        <v>16679</v>
      </c>
      <c r="Y6" s="286">
        <f t="shared" si="0"/>
        <v>96208</v>
      </c>
      <c r="Z6" s="286">
        <f t="shared" si="0"/>
        <v>0</v>
      </c>
      <c r="AA6" s="286">
        <f t="shared" si="0"/>
        <v>0</v>
      </c>
      <c r="AB6" s="286">
        <f t="shared" si="0"/>
        <v>30102</v>
      </c>
      <c r="AC6" s="286">
        <f t="shared" si="0"/>
        <v>1330</v>
      </c>
      <c r="AD6" s="286">
        <f t="shared" si="0"/>
        <v>0</v>
      </c>
      <c r="AE6" s="286">
        <f t="shared" si="0"/>
        <v>0</v>
      </c>
      <c r="AF6" s="286">
        <f t="shared" si="0"/>
        <v>0</v>
      </c>
      <c r="AG6" s="286">
        <f t="shared" si="0"/>
        <v>0</v>
      </c>
      <c r="AH6" s="286">
        <f t="shared" si="0"/>
        <v>1652</v>
      </c>
      <c r="AI6" s="286">
        <f t="shared" si="0"/>
        <v>0</v>
      </c>
      <c r="AJ6" s="286">
        <f t="shared" si="0"/>
        <v>0</v>
      </c>
      <c r="AK6" s="286">
        <f t="shared" si="0"/>
        <v>0</v>
      </c>
      <c r="AL6" s="286">
        <f t="shared" si="0"/>
        <v>0</v>
      </c>
      <c r="AM6" s="286">
        <f t="shared" si="0"/>
        <v>0</v>
      </c>
      <c r="AN6" s="286">
        <f t="shared" si="0"/>
        <v>0</v>
      </c>
      <c r="AO6" s="286">
        <f t="shared" si="0"/>
        <v>256</v>
      </c>
    </row>
    <row r="7" s="258" customFormat="true" ht="17.25" customHeight="true" spans="1:41">
      <c r="A7" s="287" t="s">
        <v>1474</v>
      </c>
      <c r="B7" s="288">
        <f>C7+'表15-2'!B7</f>
        <v>353940</v>
      </c>
      <c r="C7" s="288">
        <f>SUM(D7:AO7)</f>
        <v>248820</v>
      </c>
      <c r="D7" s="288">
        <v>2507</v>
      </c>
      <c r="E7" s="288">
        <v>126919</v>
      </c>
      <c r="F7" s="288"/>
      <c r="G7" s="288">
        <v>631</v>
      </c>
      <c r="H7" s="288"/>
      <c r="I7" s="288">
        <v>508</v>
      </c>
      <c r="J7" s="288"/>
      <c r="K7" s="288">
        <v>286</v>
      </c>
      <c r="L7" s="288">
        <v>9432</v>
      </c>
      <c r="M7" s="288"/>
      <c r="N7" s="288"/>
      <c r="O7" s="288"/>
      <c r="P7" s="288"/>
      <c r="Q7" s="288"/>
      <c r="R7" s="288"/>
      <c r="S7" s="288"/>
      <c r="T7" s="288">
        <v>867</v>
      </c>
      <c r="U7" s="288">
        <v>2869</v>
      </c>
      <c r="V7" s="288">
        <v>439</v>
      </c>
      <c r="W7" s="288">
        <v>1210</v>
      </c>
      <c r="X7" s="288">
        <f>7246-440</f>
        <v>6806</v>
      </c>
      <c r="Y7" s="288">
        <f>69291+20362</f>
        <v>89653</v>
      </c>
      <c r="Z7" s="288"/>
      <c r="AA7" s="288"/>
      <c r="AB7" s="288">
        <v>5744</v>
      </c>
      <c r="AC7" s="288">
        <v>479</v>
      </c>
      <c r="AD7" s="288"/>
      <c r="AE7" s="288"/>
      <c r="AF7" s="288"/>
      <c r="AG7" s="288"/>
      <c r="AH7" s="288">
        <v>470</v>
      </c>
      <c r="AI7" s="288"/>
      <c r="AJ7" s="288"/>
      <c r="AK7" s="288"/>
      <c r="AL7" s="296"/>
      <c r="AM7" s="296"/>
      <c r="AN7" s="296"/>
      <c r="AO7" s="296"/>
    </row>
    <row r="8" s="258" customFormat="true" ht="17.25" customHeight="true" spans="1:41">
      <c r="A8" s="287" t="s">
        <v>7</v>
      </c>
      <c r="B8" s="288">
        <f>C8+'表15-2'!B8</f>
        <v>278231</v>
      </c>
      <c r="C8" s="288">
        <f>SUM(D8:AO8)</f>
        <v>269131</v>
      </c>
      <c r="D8" s="288">
        <v>-1941</v>
      </c>
      <c r="E8" s="288">
        <v>127953</v>
      </c>
      <c r="F8" s="288">
        <v>20307</v>
      </c>
      <c r="G8" s="288">
        <v>700</v>
      </c>
      <c r="H8" s="288">
        <v>616</v>
      </c>
      <c r="I8" s="288"/>
      <c r="J8" s="288"/>
      <c r="K8" s="288">
        <v>18796</v>
      </c>
      <c r="L8" s="288">
        <v>18661</v>
      </c>
      <c r="M8" s="288">
        <v>2138</v>
      </c>
      <c r="N8" s="288"/>
      <c r="O8" s="288"/>
      <c r="P8" s="288">
        <v>36221</v>
      </c>
      <c r="Q8" s="288"/>
      <c r="R8" s="288"/>
      <c r="S8" s="288"/>
      <c r="T8" s="288"/>
      <c r="U8" s="288">
        <v>1741</v>
      </c>
      <c r="V8" s="288">
        <v>211</v>
      </c>
      <c r="W8" s="288">
        <v>653</v>
      </c>
      <c r="X8" s="288">
        <v>9873</v>
      </c>
      <c r="Y8" s="288">
        <v>6555</v>
      </c>
      <c r="Z8" s="288"/>
      <c r="AA8" s="288"/>
      <c r="AB8" s="288">
        <v>24358</v>
      </c>
      <c r="AC8" s="288">
        <v>851</v>
      </c>
      <c r="AD8" s="288"/>
      <c r="AE8" s="288"/>
      <c r="AF8" s="288"/>
      <c r="AG8" s="288"/>
      <c r="AH8" s="288">
        <v>1182</v>
      </c>
      <c r="AI8" s="288"/>
      <c r="AJ8" s="288"/>
      <c r="AK8" s="288"/>
      <c r="AL8" s="296"/>
      <c r="AM8" s="296"/>
      <c r="AN8" s="296"/>
      <c r="AO8" s="296">
        <v>256</v>
      </c>
    </row>
    <row r="9" s="258" customFormat="true" ht="17.25" customHeight="true" spans="1:41">
      <c r="A9" s="289"/>
      <c r="B9" s="290"/>
      <c r="C9" s="290"/>
      <c r="D9" s="290"/>
      <c r="E9" s="290"/>
      <c r="F9" s="290"/>
      <c r="G9" s="290"/>
      <c r="H9" s="290"/>
      <c r="I9" s="290"/>
      <c r="J9" s="294"/>
      <c r="K9" s="290"/>
      <c r="L9" s="294"/>
      <c r="M9" s="294"/>
      <c r="N9" s="294"/>
      <c r="O9" s="290"/>
      <c r="P9" s="290"/>
      <c r="Q9" s="290"/>
      <c r="R9" s="290"/>
      <c r="S9" s="294"/>
      <c r="T9" s="294"/>
      <c r="U9" s="294"/>
      <c r="V9" s="294"/>
      <c r="W9" s="290"/>
      <c r="X9" s="290"/>
      <c r="Y9" s="290"/>
      <c r="Z9" s="290"/>
      <c r="AA9" s="290"/>
      <c r="AB9" s="290"/>
      <c r="AC9" s="290"/>
      <c r="AD9" s="290"/>
      <c r="AE9" s="290"/>
      <c r="AF9" s="290"/>
      <c r="AG9" s="290"/>
      <c r="AH9" s="290"/>
      <c r="AI9" s="290"/>
      <c r="AJ9" s="290"/>
      <c r="AK9" s="290"/>
      <c r="AL9" s="272"/>
      <c r="AM9" s="272"/>
      <c r="AN9" s="272"/>
      <c r="AO9" s="272"/>
    </row>
    <row r="10" s="258" customFormat="true" ht="17.25" customHeight="true" spans="1:41">
      <c r="A10" s="289"/>
      <c r="B10" s="290"/>
      <c r="C10" s="290"/>
      <c r="D10" s="290"/>
      <c r="E10" s="290"/>
      <c r="F10" s="290"/>
      <c r="G10" s="290"/>
      <c r="H10" s="290"/>
      <c r="I10" s="290"/>
      <c r="J10" s="294"/>
      <c r="K10" s="290"/>
      <c r="L10" s="294"/>
      <c r="M10" s="294"/>
      <c r="N10" s="294"/>
      <c r="O10" s="290"/>
      <c r="P10" s="290"/>
      <c r="Q10" s="290"/>
      <c r="R10" s="290"/>
      <c r="S10" s="294"/>
      <c r="T10" s="294"/>
      <c r="U10" s="294"/>
      <c r="V10" s="294"/>
      <c r="W10" s="290"/>
      <c r="X10" s="290"/>
      <c r="Y10" s="290"/>
      <c r="Z10" s="290"/>
      <c r="AA10" s="290"/>
      <c r="AB10" s="290"/>
      <c r="AC10" s="290"/>
      <c r="AD10" s="290"/>
      <c r="AE10" s="290"/>
      <c r="AF10" s="290"/>
      <c r="AG10" s="290"/>
      <c r="AH10" s="290"/>
      <c r="AI10" s="290"/>
      <c r="AJ10" s="290"/>
      <c r="AK10" s="290"/>
      <c r="AL10" s="272"/>
      <c r="AM10" s="272"/>
      <c r="AN10" s="272"/>
      <c r="AO10" s="272"/>
    </row>
    <row r="11" s="258" customFormat="true" ht="17.25" customHeight="true" spans="1:41">
      <c r="A11" s="289"/>
      <c r="B11" s="290"/>
      <c r="C11" s="290"/>
      <c r="D11" s="290"/>
      <c r="E11" s="290"/>
      <c r="F11" s="290"/>
      <c r="G11" s="290"/>
      <c r="H11" s="290"/>
      <c r="I11" s="290"/>
      <c r="J11" s="294"/>
      <c r="K11" s="290"/>
      <c r="L11" s="294"/>
      <c r="M11" s="294"/>
      <c r="N11" s="294"/>
      <c r="O11" s="290"/>
      <c r="P11" s="290"/>
      <c r="Q11" s="290"/>
      <c r="R11" s="290"/>
      <c r="S11" s="294"/>
      <c r="T11" s="294"/>
      <c r="U11" s="294"/>
      <c r="V11" s="294"/>
      <c r="W11" s="290"/>
      <c r="X11" s="290"/>
      <c r="Y11" s="290"/>
      <c r="Z11" s="290"/>
      <c r="AA11" s="290"/>
      <c r="AB11" s="290"/>
      <c r="AC11" s="290"/>
      <c r="AD11" s="290"/>
      <c r="AE11" s="290"/>
      <c r="AF11" s="290"/>
      <c r="AG11" s="290"/>
      <c r="AH11" s="290"/>
      <c r="AI11" s="290"/>
      <c r="AJ11" s="290"/>
      <c r="AK11" s="290"/>
      <c r="AL11" s="272"/>
      <c r="AM11" s="272"/>
      <c r="AN11" s="272"/>
      <c r="AO11" s="272"/>
    </row>
    <row r="12" s="258" customFormat="true" ht="17.25" customHeight="true" spans="1:41">
      <c r="A12" s="291"/>
      <c r="B12" s="290"/>
      <c r="C12" s="290"/>
      <c r="D12" s="290"/>
      <c r="E12" s="290"/>
      <c r="F12" s="290"/>
      <c r="G12" s="290"/>
      <c r="H12" s="290"/>
      <c r="I12" s="290"/>
      <c r="J12" s="294"/>
      <c r="K12" s="290"/>
      <c r="L12" s="294"/>
      <c r="M12" s="294"/>
      <c r="N12" s="294"/>
      <c r="O12" s="290"/>
      <c r="P12" s="290"/>
      <c r="Q12" s="290"/>
      <c r="R12" s="290"/>
      <c r="S12" s="294"/>
      <c r="T12" s="294"/>
      <c r="U12" s="294"/>
      <c r="V12" s="294"/>
      <c r="W12" s="290"/>
      <c r="X12" s="290"/>
      <c r="Y12" s="290"/>
      <c r="Z12" s="290"/>
      <c r="AA12" s="290"/>
      <c r="AB12" s="290"/>
      <c r="AC12" s="290"/>
      <c r="AD12" s="290"/>
      <c r="AE12" s="290"/>
      <c r="AF12" s="290"/>
      <c r="AG12" s="290"/>
      <c r="AH12" s="290"/>
      <c r="AI12" s="290"/>
      <c r="AJ12" s="290"/>
      <c r="AK12" s="290"/>
      <c r="AL12" s="272"/>
      <c r="AM12" s="272"/>
      <c r="AN12" s="272"/>
      <c r="AO12" s="272"/>
    </row>
    <row r="13" s="258" customFormat="true" ht="17.25" customHeight="true" spans="1:41">
      <c r="A13" s="270"/>
      <c r="B13" s="290"/>
      <c r="C13" s="290"/>
      <c r="D13" s="290"/>
      <c r="E13" s="290"/>
      <c r="F13" s="290"/>
      <c r="G13" s="290"/>
      <c r="H13" s="290"/>
      <c r="I13" s="290"/>
      <c r="J13" s="294"/>
      <c r="K13" s="290"/>
      <c r="L13" s="294"/>
      <c r="M13" s="294"/>
      <c r="N13" s="294"/>
      <c r="O13" s="290"/>
      <c r="P13" s="290"/>
      <c r="Q13" s="290"/>
      <c r="R13" s="290"/>
      <c r="S13" s="294"/>
      <c r="T13" s="294"/>
      <c r="U13" s="294"/>
      <c r="V13" s="294"/>
      <c r="W13" s="290"/>
      <c r="X13" s="290"/>
      <c r="Y13" s="290"/>
      <c r="Z13" s="290"/>
      <c r="AA13" s="290"/>
      <c r="AB13" s="290"/>
      <c r="AC13" s="290"/>
      <c r="AD13" s="290"/>
      <c r="AE13" s="290"/>
      <c r="AF13" s="290"/>
      <c r="AG13" s="290"/>
      <c r="AH13" s="290"/>
      <c r="AI13" s="290"/>
      <c r="AJ13" s="290"/>
      <c r="AK13" s="290"/>
      <c r="AL13" s="272"/>
      <c r="AM13" s="272"/>
      <c r="AN13" s="272"/>
      <c r="AO13" s="272"/>
    </row>
    <row r="14" s="258" customFormat="true" ht="17.25" customHeight="true" spans="1:41">
      <c r="A14" s="291"/>
      <c r="B14" s="290"/>
      <c r="C14" s="290"/>
      <c r="D14" s="290"/>
      <c r="E14" s="290"/>
      <c r="F14" s="290"/>
      <c r="G14" s="290"/>
      <c r="H14" s="290"/>
      <c r="I14" s="290"/>
      <c r="J14" s="294"/>
      <c r="K14" s="290"/>
      <c r="L14" s="294"/>
      <c r="M14" s="294"/>
      <c r="N14" s="294"/>
      <c r="O14" s="290"/>
      <c r="P14" s="290"/>
      <c r="Q14" s="290"/>
      <c r="R14" s="290"/>
      <c r="S14" s="294"/>
      <c r="T14" s="294"/>
      <c r="U14" s="294"/>
      <c r="V14" s="294"/>
      <c r="W14" s="290"/>
      <c r="X14" s="290"/>
      <c r="Y14" s="290"/>
      <c r="Z14" s="290"/>
      <c r="AA14" s="290"/>
      <c r="AB14" s="290"/>
      <c r="AC14" s="290"/>
      <c r="AD14" s="290"/>
      <c r="AE14" s="290"/>
      <c r="AF14" s="290"/>
      <c r="AG14" s="290"/>
      <c r="AH14" s="290"/>
      <c r="AI14" s="290"/>
      <c r="AJ14" s="290"/>
      <c r="AK14" s="290"/>
      <c r="AL14" s="272"/>
      <c r="AM14" s="272"/>
      <c r="AN14" s="272"/>
      <c r="AO14" s="272"/>
    </row>
    <row r="15" s="258" customFormat="true" ht="15.95" customHeight="true" spans="1:41">
      <c r="A15" s="272"/>
      <c r="B15" s="290"/>
      <c r="C15" s="290"/>
      <c r="D15" s="290"/>
      <c r="E15" s="290"/>
      <c r="F15" s="290"/>
      <c r="G15" s="290"/>
      <c r="H15" s="290"/>
      <c r="I15" s="290"/>
      <c r="J15" s="294"/>
      <c r="K15" s="290"/>
      <c r="L15" s="294"/>
      <c r="M15" s="294"/>
      <c r="N15" s="294"/>
      <c r="O15" s="290"/>
      <c r="P15" s="290"/>
      <c r="Q15" s="290"/>
      <c r="R15" s="290"/>
      <c r="S15" s="294"/>
      <c r="T15" s="294"/>
      <c r="U15" s="294"/>
      <c r="V15" s="294"/>
      <c r="W15" s="290"/>
      <c r="X15" s="290"/>
      <c r="Y15" s="290"/>
      <c r="Z15" s="290"/>
      <c r="AA15" s="290"/>
      <c r="AB15" s="290"/>
      <c r="AC15" s="290"/>
      <c r="AD15" s="290"/>
      <c r="AE15" s="290"/>
      <c r="AF15" s="290"/>
      <c r="AG15" s="290"/>
      <c r="AH15" s="290"/>
      <c r="AI15" s="290"/>
      <c r="AJ15" s="290"/>
      <c r="AK15" s="290"/>
      <c r="AL15" s="272"/>
      <c r="AM15" s="272"/>
      <c r="AN15" s="272"/>
      <c r="AO15" s="272"/>
    </row>
  </sheetData>
  <mergeCells count="5">
    <mergeCell ref="A2:AK2"/>
    <mergeCell ref="A3:AK3"/>
    <mergeCell ref="C4:AO4"/>
    <mergeCell ref="A4:A5"/>
    <mergeCell ref="B4:B5"/>
  </mergeCells>
  <printOptions horizontalCentered="true"/>
  <pageMargins left="0.47244094488189" right="0.47244094488189" top="0.590551181102362" bottom="0.47244094488189" header="0.31496062992126" footer="0.31496062992126"/>
  <pageSetup paperSize="9" scale="76"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showGridLines="0" showZeros="0" zoomScale="130" zoomScaleNormal="130" workbookViewId="0">
      <selection activeCell="A7" sqref="$A7:$XFD8"/>
    </sheetView>
  </sheetViews>
  <sheetFormatPr defaultColWidth="5.75" defaultRowHeight="13.5"/>
  <cols>
    <col min="1" max="1" width="15.125" style="258" customWidth="true"/>
    <col min="2" max="2" width="7.375" style="258" customWidth="true"/>
    <col min="3" max="10" width="5.625" style="258" customWidth="true"/>
    <col min="11" max="11" width="5.625" style="260" customWidth="true"/>
    <col min="12" max="12" width="9.25" style="258" customWidth="true"/>
    <col min="13" max="15" width="5.625" style="258" customWidth="true"/>
    <col min="16" max="16" width="5.625" style="260" customWidth="true"/>
    <col min="17" max="18" width="5.625" style="258" customWidth="true"/>
    <col min="19" max="19" width="9.51666666666667" style="258" customWidth="true"/>
    <col min="20" max="22" width="5.625" style="258" customWidth="true"/>
    <col min="23" max="23" width="5.5" style="258" customWidth="true"/>
    <col min="24" max="16384" width="5.75" style="258"/>
  </cols>
  <sheetData>
    <row r="1" ht="14.25" spans="1:1">
      <c r="A1" s="185" t="s">
        <v>1475</v>
      </c>
    </row>
    <row r="2" s="257" customFormat="true" ht="33.95" customHeight="true" spans="1:23">
      <c r="A2" s="261" t="s">
        <v>1433</v>
      </c>
      <c r="B2" s="261"/>
      <c r="C2" s="261"/>
      <c r="D2" s="261"/>
      <c r="E2" s="261"/>
      <c r="F2" s="261"/>
      <c r="G2" s="261"/>
      <c r="H2" s="261"/>
      <c r="I2" s="261"/>
      <c r="J2" s="261"/>
      <c r="K2" s="261"/>
      <c r="L2" s="261"/>
      <c r="M2" s="261"/>
      <c r="N2" s="261"/>
      <c r="O2" s="261"/>
      <c r="P2" s="261"/>
      <c r="Q2" s="261"/>
      <c r="R2" s="261"/>
      <c r="S2" s="261"/>
      <c r="T2" s="261"/>
      <c r="U2" s="261"/>
      <c r="V2" s="261"/>
      <c r="W2" s="261"/>
    </row>
    <row r="3" ht="17.1" customHeight="true" spans="1:23">
      <c r="A3" s="262"/>
      <c r="B3" s="263"/>
      <c r="C3" s="263"/>
      <c r="D3" s="263"/>
      <c r="E3" s="263"/>
      <c r="F3" s="263"/>
      <c r="G3" s="263"/>
      <c r="H3" s="263"/>
      <c r="I3" s="263"/>
      <c r="J3" s="263"/>
      <c r="K3" s="263"/>
      <c r="L3" s="263"/>
      <c r="M3" s="263"/>
      <c r="N3" s="263"/>
      <c r="O3" s="263"/>
      <c r="P3" s="263"/>
      <c r="Q3" s="263"/>
      <c r="R3" s="263"/>
      <c r="S3" s="263"/>
      <c r="T3" s="263"/>
      <c r="U3" s="263"/>
      <c r="V3" s="274"/>
      <c r="W3" s="262" t="s">
        <v>3</v>
      </c>
    </row>
    <row r="4" ht="31.5" customHeight="true" spans="1:23">
      <c r="A4" s="264" t="s">
        <v>1476</v>
      </c>
      <c r="B4" s="265" t="s">
        <v>1352</v>
      </c>
      <c r="C4" s="265"/>
      <c r="D4" s="265"/>
      <c r="E4" s="265"/>
      <c r="F4" s="265"/>
      <c r="G4" s="265"/>
      <c r="H4" s="265"/>
      <c r="I4" s="265"/>
      <c r="J4" s="265"/>
      <c r="K4" s="265"/>
      <c r="L4" s="265"/>
      <c r="M4" s="265"/>
      <c r="N4" s="265"/>
      <c r="O4" s="265"/>
      <c r="P4" s="265"/>
      <c r="Q4" s="265"/>
      <c r="R4" s="265"/>
      <c r="S4" s="265"/>
      <c r="T4" s="265"/>
      <c r="U4" s="265"/>
      <c r="V4" s="265"/>
      <c r="W4" s="265"/>
    </row>
    <row r="5" s="258" customFormat="true" ht="72.75" customHeight="true" spans="1:23">
      <c r="A5" s="266"/>
      <c r="B5" s="267" t="s">
        <v>1477</v>
      </c>
      <c r="C5" s="267" t="s">
        <v>304</v>
      </c>
      <c r="D5" s="267" t="s">
        <v>1478</v>
      </c>
      <c r="E5" s="267" t="s">
        <v>1479</v>
      </c>
      <c r="F5" s="267" t="s">
        <v>1480</v>
      </c>
      <c r="G5" s="267" t="s">
        <v>1481</v>
      </c>
      <c r="H5" s="267" t="s">
        <v>1482</v>
      </c>
      <c r="I5" s="267" t="s">
        <v>1483</v>
      </c>
      <c r="J5" s="267" t="s">
        <v>1484</v>
      </c>
      <c r="K5" s="267" t="s">
        <v>1485</v>
      </c>
      <c r="L5" s="267" t="s">
        <v>1486</v>
      </c>
      <c r="M5" s="267" t="s">
        <v>1487</v>
      </c>
      <c r="N5" s="267" t="s">
        <v>1488</v>
      </c>
      <c r="O5" s="267" t="s">
        <v>1489</v>
      </c>
      <c r="P5" s="267" t="s">
        <v>1490</v>
      </c>
      <c r="Q5" s="267" t="s">
        <v>1491</v>
      </c>
      <c r="R5" s="267" t="s">
        <v>1492</v>
      </c>
      <c r="S5" s="267" t="s">
        <v>1493</v>
      </c>
      <c r="T5" s="267" t="s">
        <v>1494</v>
      </c>
      <c r="U5" s="267" t="s">
        <v>1495</v>
      </c>
      <c r="V5" s="267" t="s">
        <v>1496</v>
      </c>
      <c r="W5" s="267" t="s">
        <v>1497</v>
      </c>
    </row>
    <row r="6" s="259" customFormat="true" ht="27" customHeight="true" spans="1:23">
      <c r="A6" s="268" t="s">
        <v>1312</v>
      </c>
      <c r="B6" s="269">
        <f t="shared" ref="B6:W6" si="0">SUM(B7:B8)</f>
        <v>114220</v>
      </c>
      <c r="C6" s="269">
        <f t="shared" si="0"/>
        <v>603</v>
      </c>
      <c r="D6" s="269">
        <f t="shared" si="0"/>
        <v>0</v>
      </c>
      <c r="E6" s="269">
        <f t="shared" si="0"/>
        <v>0</v>
      </c>
      <c r="F6" s="269">
        <f t="shared" si="0"/>
        <v>149</v>
      </c>
      <c r="G6" s="269">
        <f t="shared" si="0"/>
        <v>0</v>
      </c>
      <c r="H6" s="269">
        <f t="shared" si="0"/>
        <v>0</v>
      </c>
      <c r="I6" s="269">
        <f t="shared" si="0"/>
        <v>1961</v>
      </c>
      <c r="J6" s="269">
        <f t="shared" si="0"/>
        <v>4930</v>
      </c>
      <c r="K6" s="269">
        <f t="shared" si="0"/>
        <v>0</v>
      </c>
      <c r="L6" s="269">
        <f t="shared" si="0"/>
        <v>0</v>
      </c>
      <c r="M6" s="269">
        <f t="shared" si="0"/>
        <v>0</v>
      </c>
      <c r="N6" s="269">
        <f t="shared" si="0"/>
        <v>5662</v>
      </c>
      <c r="O6" s="269">
        <f t="shared" si="0"/>
        <v>0</v>
      </c>
      <c r="P6" s="269">
        <f t="shared" si="0"/>
        <v>0</v>
      </c>
      <c r="Q6" s="269">
        <f t="shared" si="0"/>
        <v>912</v>
      </c>
      <c r="R6" s="269">
        <f t="shared" si="0"/>
        <v>0</v>
      </c>
      <c r="S6" s="269">
        <f t="shared" si="0"/>
        <v>100003</v>
      </c>
      <c r="T6" s="269">
        <f t="shared" si="0"/>
        <v>0</v>
      </c>
      <c r="U6" s="269">
        <f t="shared" si="0"/>
        <v>0</v>
      </c>
      <c r="V6" s="269">
        <f t="shared" si="0"/>
        <v>0</v>
      </c>
      <c r="W6" s="269">
        <f t="shared" si="0"/>
        <v>0</v>
      </c>
    </row>
    <row r="7" s="258" customFormat="true" ht="27" customHeight="true" spans="1:23">
      <c r="A7" s="270" t="s">
        <v>1474</v>
      </c>
      <c r="B7" s="271">
        <f>SUM(C7:W7)</f>
        <v>105120</v>
      </c>
      <c r="C7" s="271">
        <v>353</v>
      </c>
      <c r="D7" s="271"/>
      <c r="E7" s="271"/>
      <c r="F7" s="271">
        <v>45</v>
      </c>
      <c r="G7" s="271"/>
      <c r="H7" s="271"/>
      <c r="I7" s="271">
        <v>1303</v>
      </c>
      <c r="J7" s="271">
        <v>2162</v>
      </c>
      <c r="K7" s="271"/>
      <c r="L7" s="271"/>
      <c r="M7" s="271"/>
      <c r="N7" s="271">
        <v>1125</v>
      </c>
      <c r="O7" s="271"/>
      <c r="P7" s="271"/>
      <c r="Q7" s="271">
        <v>132</v>
      </c>
      <c r="R7" s="271"/>
      <c r="S7" s="271">
        <v>100000</v>
      </c>
      <c r="T7" s="272"/>
      <c r="U7" s="272"/>
      <c r="V7" s="272"/>
      <c r="W7" s="272"/>
    </row>
    <row r="8" s="258" customFormat="true" ht="27" customHeight="true" spans="1:23">
      <c r="A8" s="270" t="s">
        <v>7</v>
      </c>
      <c r="B8" s="271">
        <f>SUM(C8:W8)</f>
        <v>9100</v>
      </c>
      <c r="C8" s="271">
        <v>250</v>
      </c>
      <c r="D8" s="271"/>
      <c r="E8" s="271"/>
      <c r="F8" s="271">
        <v>104</v>
      </c>
      <c r="G8" s="271"/>
      <c r="H8" s="271"/>
      <c r="I8" s="271">
        <v>658</v>
      </c>
      <c r="J8" s="271">
        <v>2768</v>
      </c>
      <c r="K8" s="271"/>
      <c r="L8" s="271"/>
      <c r="M8" s="271"/>
      <c r="N8" s="271">
        <v>4537</v>
      </c>
      <c r="O8" s="271"/>
      <c r="P8" s="271"/>
      <c r="Q8" s="271">
        <v>780</v>
      </c>
      <c r="R8" s="271"/>
      <c r="S8" s="271">
        <v>3</v>
      </c>
      <c r="T8" s="272"/>
      <c r="U8" s="272"/>
      <c r="V8" s="272"/>
      <c r="W8" s="272"/>
    </row>
    <row r="9" s="258" customFormat="true" ht="27" customHeight="true" spans="1:23">
      <c r="A9" s="272"/>
      <c r="B9" s="272"/>
      <c r="C9" s="272"/>
      <c r="D9" s="272"/>
      <c r="E9" s="272"/>
      <c r="F9" s="272"/>
      <c r="G9" s="272"/>
      <c r="H9" s="272"/>
      <c r="I9" s="272"/>
      <c r="J9" s="272"/>
      <c r="K9" s="273"/>
      <c r="L9" s="272"/>
      <c r="M9" s="272"/>
      <c r="N9" s="272"/>
      <c r="O9" s="272"/>
      <c r="P9" s="273"/>
      <c r="Q9" s="272"/>
      <c r="R9" s="272"/>
      <c r="S9" s="272"/>
      <c r="T9" s="272"/>
      <c r="U9" s="272"/>
      <c r="V9" s="272"/>
      <c r="W9" s="272"/>
    </row>
    <row r="10" s="258" customFormat="true" ht="27" customHeight="true" spans="1:23">
      <c r="A10" s="272"/>
      <c r="B10" s="272"/>
      <c r="C10" s="272"/>
      <c r="D10" s="272"/>
      <c r="E10" s="272"/>
      <c r="F10" s="272"/>
      <c r="G10" s="272"/>
      <c r="H10" s="272"/>
      <c r="I10" s="272"/>
      <c r="J10" s="272"/>
      <c r="K10" s="273"/>
      <c r="L10" s="272"/>
      <c r="M10" s="272"/>
      <c r="N10" s="272"/>
      <c r="O10" s="272"/>
      <c r="P10" s="273"/>
      <c r="Q10" s="272"/>
      <c r="R10" s="272"/>
      <c r="S10" s="272"/>
      <c r="T10" s="272"/>
      <c r="U10" s="272"/>
      <c r="V10" s="272"/>
      <c r="W10" s="272"/>
    </row>
    <row r="11" s="258" customFormat="true" ht="27" customHeight="true" spans="1:23">
      <c r="A11" s="272"/>
      <c r="B11" s="272"/>
      <c r="C11" s="272"/>
      <c r="D11" s="272"/>
      <c r="E11" s="272"/>
      <c r="F11" s="272"/>
      <c r="G11" s="272"/>
      <c r="H11" s="272"/>
      <c r="I11" s="272"/>
      <c r="J11" s="272"/>
      <c r="K11" s="273"/>
      <c r="L11" s="272"/>
      <c r="M11" s="272"/>
      <c r="N11" s="272"/>
      <c r="O11" s="272"/>
      <c r="P11" s="273"/>
      <c r="Q11" s="272"/>
      <c r="R11" s="272"/>
      <c r="S11" s="272"/>
      <c r="T11" s="272"/>
      <c r="U11" s="272"/>
      <c r="V11" s="272"/>
      <c r="W11" s="272"/>
    </row>
    <row r="12" s="258" customFormat="true" ht="27" customHeight="true" spans="1:23">
      <c r="A12" s="272"/>
      <c r="B12" s="272"/>
      <c r="C12" s="272"/>
      <c r="D12" s="272"/>
      <c r="E12" s="272"/>
      <c r="F12" s="272"/>
      <c r="G12" s="272"/>
      <c r="H12" s="272"/>
      <c r="I12" s="272"/>
      <c r="J12" s="272"/>
      <c r="K12" s="273"/>
      <c r="L12" s="272"/>
      <c r="M12" s="272"/>
      <c r="N12" s="272"/>
      <c r="O12" s="272"/>
      <c r="P12" s="273"/>
      <c r="Q12" s="272"/>
      <c r="R12" s="272"/>
      <c r="S12" s="272"/>
      <c r="T12" s="272"/>
      <c r="U12" s="272"/>
      <c r="V12" s="272"/>
      <c r="W12" s="272"/>
    </row>
    <row r="13" s="258" customFormat="true" ht="27" customHeight="true" spans="1:23">
      <c r="A13" s="272"/>
      <c r="B13" s="272"/>
      <c r="C13" s="272"/>
      <c r="D13" s="272"/>
      <c r="E13" s="272"/>
      <c r="F13" s="272"/>
      <c r="G13" s="272"/>
      <c r="H13" s="272"/>
      <c r="I13" s="272"/>
      <c r="J13" s="272"/>
      <c r="K13" s="273"/>
      <c r="L13" s="272"/>
      <c r="M13" s="272"/>
      <c r="N13" s="272"/>
      <c r="O13" s="272"/>
      <c r="P13" s="273"/>
      <c r="Q13" s="272"/>
      <c r="R13" s="272"/>
      <c r="S13" s="272"/>
      <c r="T13" s="272"/>
      <c r="U13" s="272"/>
      <c r="V13" s="272"/>
      <c r="W13" s="272"/>
    </row>
    <row r="14" s="258" customFormat="true" ht="27" customHeight="true" spans="1:23">
      <c r="A14" s="272"/>
      <c r="B14" s="272"/>
      <c r="C14" s="272"/>
      <c r="D14" s="272"/>
      <c r="E14" s="272"/>
      <c r="F14" s="272"/>
      <c r="G14" s="272"/>
      <c r="H14" s="272"/>
      <c r="I14" s="272"/>
      <c r="J14" s="272"/>
      <c r="K14" s="273"/>
      <c r="L14" s="272"/>
      <c r="M14" s="272"/>
      <c r="N14" s="272"/>
      <c r="O14" s="272"/>
      <c r="P14" s="273"/>
      <c r="Q14" s="272"/>
      <c r="R14" s="272"/>
      <c r="S14" s="272"/>
      <c r="T14" s="272"/>
      <c r="U14" s="272"/>
      <c r="V14" s="272"/>
      <c r="W14" s="272"/>
    </row>
    <row r="15" s="258" customFormat="true" ht="27" customHeight="true" spans="1:23">
      <c r="A15" s="272"/>
      <c r="B15" s="272"/>
      <c r="C15" s="272"/>
      <c r="D15" s="272"/>
      <c r="E15" s="272"/>
      <c r="F15" s="272"/>
      <c r="G15" s="272"/>
      <c r="H15" s="272"/>
      <c r="I15" s="272"/>
      <c r="J15" s="272"/>
      <c r="K15" s="273"/>
      <c r="L15" s="272"/>
      <c r="M15" s="272"/>
      <c r="N15" s="272"/>
      <c r="O15" s="272"/>
      <c r="P15" s="273"/>
      <c r="Q15" s="272"/>
      <c r="R15" s="272"/>
      <c r="S15" s="272"/>
      <c r="T15" s="272"/>
      <c r="U15" s="272"/>
      <c r="V15" s="272"/>
      <c r="W15" s="272"/>
    </row>
    <row r="16" s="258" customFormat="true" ht="27" customHeight="true" spans="1:23">
      <c r="A16" s="272"/>
      <c r="B16" s="272"/>
      <c r="C16" s="272"/>
      <c r="D16" s="272"/>
      <c r="E16" s="272"/>
      <c r="F16" s="272"/>
      <c r="G16" s="272"/>
      <c r="H16" s="272"/>
      <c r="I16" s="272"/>
      <c r="J16" s="272"/>
      <c r="K16" s="273"/>
      <c r="L16" s="272"/>
      <c r="M16" s="272"/>
      <c r="N16" s="272"/>
      <c r="O16" s="272"/>
      <c r="P16" s="273"/>
      <c r="Q16" s="272"/>
      <c r="R16" s="272"/>
      <c r="S16" s="272"/>
      <c r="T16" s="272"/>
      <c r="U16" s="272"/>
      <c r="V16" s="272"/>
      <c r="W16" s="272"/>
    </row>
    <row r="17" s="258" customFormat="true" ht="27" customHeight="true" spans="1:23">
      <c r="A17" s="272"/>
      <c r="B17" s="272"/>
      <c r="C17" s="272"/>
      <c r="D17" s="272"/>
      <c r="E17" s="272"/>
      <c r="F17" s="272"/>
      <c r="G17" s="272"/>
      <c r="H17" s="272"/>
      <c r="I17" s="272"/>
      <c r="J17" s="272"/>
      <c r="K17" s="273"/>
      <c r="L17" s="272"/>
      <c r="M17" s="272"/>
      <c r="N17" s="272"/>
      <c r="O17" s="272"/>
      <c r="P17" s="273"/>
      <c r="Q17" s="272"/>
      <c r="R17" s="272"/>
      <c r="S17" s="272"/>
      <c r="T17" s="272"/>
      <c r="U17" s="272"/>
      <c r="V17" s="272"/>
      <c r="W17" s="272"/>
    </row>
    <row r="18" s="258" customFormat="true" ht="27" customHeight="true" spans="1:23">
      <c r="A18" s="272"/>
      <c r="B18" s="272"/>
      <c r="C18" s="272"/>
      <c r="D18" s="272"/>
      <c r="E18" s="272"/>
      <c r="F18" s="272"/>
      <c r="G18" s="272"/>
      <c r="H18" s="272"/>
      <c r="I18" s="272"/>
      <c r="J18" s="272"/>
      <c r="K18" s="273"/>
      <c r="L18" s="272"/>
      <c r="M18" s="272"/>
      <c r="N18" s="272"/>
      <c r="O18" s="272"/>
      <c r="P18" s="273"/>
      <c r="Q18" s="272"/>
      <c r="R18" s="272"/>
      <c r="S18" s="272"/>
      <c r="T18" s="272"/>
      <c r="U18" s="272"/>
      <c r="V18" s="272"/>
      <c r="W18" s="272"/>
    </row>
    <row r="19" s="258" customFormat="true" ht="27" customHeight="true" spans="1:23">
      <c r="A19" s="272"/>
      <c r="B19" s="272"/>
      <c r="C19" s="272"/>
      <c r="D19" s="272"/>
      <c r="E19" s="272"/>
      <c r="F19" s="272"/>
      <c r="G19" s="272"/>
      <c r="H19" s="272"/>
      <c r="I19" s="272"/>
      <c r="J19" s="272"/>
      <c r="K19" s="273"/>
      <c r="L19" s="272"/>
      <c r="M19" s="272"/>
      <c r="N19" s="272"/>
      <c r="O19" s="272"/>
      <c r="P19" s="273"/>
      <c r="Q19" s="272"/>
      <c r="R19" s="272"/>
      <c r="S19" s="272"/>
      <c r="T19" s="272"/>
      <c r="U19" s="272"/>
      <c r="V19" s="272"/>
      <c r="W19" s="272"/>
    </row>
  </sheetData>
  <mergeCells count="3">
    <mergeCell ref="A2:W2"/>
    <mergeCell ref="B4:W4"/>
    <mergeCell ref="A4:A5"/>
  </mergeCells>
  <printOptions horizontalCentered="true"/>
  <pageMargins left="0.47244094488189" right="0.47244094488189" top="0.590551181102362" bottom="0.47244094488189" header="0.31496062992126" footer="0.31496062992126"/>
  <pageSetup paperSize="9" scale="8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showGridLines="0" showZeros="0" zoomScale="130" zoomScaleNormal="130" topLeftCell="B1" workbookViewId="0">
      <selection activeCell="B12" sqref="B12"/>
    </sheetView>
  </sheetViews>
  <sheetFormatPr defaultColWidth="9.125" defaultRowHeight="14.25" outlineLevelCol="4"/>
  <cols>
    <col min="1" max="1" width="14.625" style="233" customWidth="true"/>
    <col min="2" max="2" width="21.125" style="232" customWidth="true"/>
    <col min="3" max="3" width="26.625" style="232" customWidth="true"/>
    <col min="4" max="4" width="24" style="232" customWidth="true"/>
    <col min="5" max="5" width="25.375" style="234" customWidth="true"/>
    <col min="6" max="246" width="9.125" style="235"/>
    <col min="247" max="247" width="30.125" style="235" customWidth="true"/>
    <col min="248" max="250" width="16.625" style="235" customWidth="true"/>
    <col min="251" max="251" width="30.125" style="235" customWidth="true"/>
    <col min="252" max="254" width="18" style="235" customWidth="true"/>
    <col min="255" max="259" width="9.125" style="235" hidden="true" customWidth="true"/>
    <col min="260" max="502" width="9.125" style="235"/>
    <col min="503" max="503" width="30.125" style="235" customWidth="true"/>
    <col min="504" max="506" width="16.625" style="235" customWidth="true"/>
    <col min="507" max="507" width="30.125" style="235" customWidth="true"/>
    <col min="508" max="510" width="18" style="235" customWidth="true"/>
    <col min="511" max="515" width="9.125" style="235" hidden="true" customWidth="true"/>
    <col min="516" max="758" width="9.125" style="235"/>
    <col min="759" max="759" width="30.125" style="235" customWidth="true"/>
    <col min="760" max="762" width="16.625" style="235" customWidth="true"/>
    <col min="763" max="763" width="30.125" style="235" customWidth="true"/>
    <col min="764" max="766" width="18" style="235" customWidth="true"/>
    <col min="767" max="771" width="9.125" style="235" hidden="true" customWidth="true"/>
    <col min="772" max="1014" width="9.125" style="235"/>
    <col min="1015" max="1015" width="30.125" style="235" customWidth="true"/>
    <col min="1016" max="1018" width="16.625" style="235" customWidth="true"/>
    <col min="1019" max="1019" width="30.125" style="235" customWidth="true"/>
    <col min="1020" max="1022" width="18" style="235" customWidth="true"/>
    <col min="1023" max="1027" width="9.125" style="235" hidden="true" customWidth="true"/>
    <col min="1028" max="1270" width="9.125" style="235"/>
    <col min="1271" max="1271" width="30.125" style="235" customWidth="true"/>
    <col min="1272" max="1274" width="16.625" style="235" customWidth="true"/>
    <col min="1275" max="1275" width="30.125" style="235" customWidth="true"/>
    <col min="1276" max="1278" width="18" style="235" customWidth="true"/>
    <col min="1279" max="1283" width="9.125" style="235" hidden="true" customWidth="true"/>
    <col min="1284" max="1526" width="9.125" style="235"/>
    <col min="1527" max="1527" width="30.125" style="235" customWidth="true"/>
    <col min="1528" max="1530" width="16.625" style="235" customWidth="true"/>
    <col min="1531" max="1531" width="30.125" style="235" customWidth="true"/>
    <col min="1532" max="1534" width="18" style="235" customWidth="true"/>
    <col min="1535" max="1539" width="9.125" style="235" hidden="true" customWidth="true"/>
    <col min="1540" max="1782" width="9.125" style="235"/>
    <col min="1783" max="1783" width="30.125" style="235" customWidth="true"/>
    <col min="1784" max="1786" width="16.625" style="235" customWidth="true"/>
    <col min="1787" max="1787" width="30.125" style="235" customWidth="true"/>
    <col min="1788" max="1790" width="18" style="235" customWidth="true"/>
    <col min="1791" max="1795" width="9.125" style="235" hidden="true" customWidth="true"/>
    <col min="1796" max="2038" width="9.125" style="235"/>
    <col min="2039" max="2039" width="30.125" style="235" customWidth="true"/>
    <col min="2040" max="2042" width="16.625" style="235" customWidth="true"/>
    <col min="2043" max="2043" width="30.125" style="235" customWidth="true"/>
    <col min="2044" max="2046" width="18" style="235" customWidth="true"/>
    <col min="2047" max="2051" width="9.125" style="235" hidden="true" customWidth="true"/>
    <col min="2052" max="2294" width="9.125" style="235"/>
    <col min="2295" max="2295" width="30.125" style="235" customWidth="true"/>
    <col min="2296" max="2298" width="16.625" style="235" customWidth="true"/>
    <col min="2299" max="2299" width="30.125" style="235" customWidth="true"/>
    <col min="2300" max="2302" width="18" style="235" customWidth="true"/>
    <col min="2303" max="2307" width="9.125" style="235" hidden="true" customWidth="true"/>
    <col min="2308" max="2550" width="9.125" style="235"/>
    <col min="2551" max="2551" width="30.125" style="235" customWidth="true"/>
    <col min="2552" max="2554" width="16.625" style="235" customWidth="true"/>
    <col min="2555" max="2555" width="30.125" style="235" customWidth="true"/>
    <col min="2556" max="2558" width="18" style="235" customWidth="true"/>
    <col min="2559" max="2563" width="9.125" style="235" hidden="true" customWidth="true"/>
    <col min="2564" max="2806" width="9.125" style="235"/>
    <col min="2807" max="2807" width="30.125" style="235" customWidth="true"/>
    <col min="2808" max="2810" width="16.625" style="235" customWidth="true"/>
    <col min="2811" max="2811" width="30.125" style="235" customWidth="true"/>
    <col min="2812" max="2814" width="18" style="235" customWidth="true"/>
    <col min="2815" max="2819" width="9.125" style="235" hidden="true" customWidth="true"/>
    <col min="2820" max="3062" width="9.125" style="235"/>
    <col min="3063" max="3063" width="30.125" style="235" customWidth="true"/>
    <col min="3064" max="3066" width="16.625" style="235" customWidth="true"/>
    <col min="3067" max="3067" width="30.125" style="235" customWidth="true"/>
    <col min="3068" max="3070" width="18" style="235" customWidth="true"/>
    <col min="3071" max="3075" width="9.125" style="235" hidden="true" customWidth="true"/>
    <col min="3076" max="3318" width="9.125" style="235"/>
    <col min="3319" max="3319" width="30.125" style="235" customWidth="true"/>
    <col min="3320" max="3322" width="16.625" style="235" customWidth="true"/>
    <col min="3323" max="3323" width="30.125" style="235" customWidth="true"/>
    <col min="3324" max="3326" width="18" style="235" customWidth="true"/>
    <col min="3327" max="3331" width="9.125" style="235" hidden="true" customWidth="true"/>
    <col min="3332" max="3574" width="9.125" style="235"/>
    <col min="3575" max="3575" width="30.125" style="235" customWidth="true"/>
    <col min="3576" max="3578" width="16.625" style="235" customWidth="true"/>
    <col min="3579" max="3579" width="30.125" style="235" customWidth="true"/>
    <col min="3580" max="3582" width="18" style="235" customWidth="true"/>
    <col min="3583" max="3587" width="9.125" style="235" hidden="true" customWidth="true"/>
    <col min="3588" max="3830" width="9.125" style="235"/>
    <col min="3831" max="3831" width="30.125" style="235" customWidth="true"/>
    <col min="3832" max="3834" width="16.625" style="235" customWidth="true"/>
    <col min="3835" max="3835" width="30.125" style="235" customWidth="true"/>
    <col min="3836" max="3838" width="18" style="235" customWidth="true"/>
    <col min="3839" max="3843" width="9.125" style="235" hidden="true" customWidth="true"/>
    <col min="3844" max="4086" width="9.125" style="235"/>
    <col min="4087" max="4087" width="30.125" style="235" customWidth="true"/>
    <col min="4088" max="4090" width="16.625" style="235" customWidth="true"/>
    <col min="4091" max="4091" width="30.125" style="235" customWidth="true"/>
    <col min="4092" max="4094" width="18" style="235" customWidth="true"/>
    <col min="4095" max="4099" width="9.125" style="235" hidden="true" customWidth="true"/>
    <col min="4100" max="4342" width="9.125" style="235"/>
    <col min="4343" max="4343" width="30.125" style="235" customWidth="true"/>
    <col min="4344" max="4346" width="16.625" style="235" customWidth="true"/>
    <col min="4347" max="4347" width="30.125" style="235" customWidth="true"/>
    <col min="4348" max="4350" width="18" style="235" customWidth="true"/>
    <col min="4351" max="4355" width="9.125" style="235" hidden="true" customWidth="true"/>
    <col min="4356" max="4598" width="9.125" style="235"/>
    <col min="4599" max="4599" width="30.125" style="235" customWidth="true"/>
    <col min="4600" max="4602" width="16.625" style="235" customWidth="true"/>
    <col min="4603" max="4603" width="30.125" style="235" customWidth="true"/>
    <col min="4604" max="4606" width="18" style="235" customWidth="true"/>
    <col min="4607" max="4611" width="9.125" style="235" hidden="true" customWidth="true"/>
    <col min="4612" max="4854" width="9.125" style="235"/>
    <col min="4855" max="4855" width="30.125" style="235" customWidth="true"/>
    <col min="4856" max="4858" width="16.625" style="235" customWidth="true"/>
    <col min="4859" max="4859" width="30.125" style="235" customWidth="true"/>
    <col min="4860" max="4862" width="18" style="235" customWidth="true"/>
    <col min="4863" max="4867" width="9.125" style="235" hidden="true" customWidth="true"/>
    <col min="4868" max="5110" width="9.125" style="235"/>
    <col min="5111" max="5111" width="30.125" style="235" customWidth="true"/>
    <col min="5112" max="5114" width="16.625" style="235" customWidth="true"/>
    <col min="5115" max="5115" width="30.125" style="235" customWidth="true"/>
    <col min="5116" max="5118" width="18" style="235" customWidth="true"/>
    <col min="5119" max="5123" width="9.125" style="235" hidden="true" customWidth="true"/>
    <col min="5124" max="5366" width="9.125" style="235"/>
    <col min="5367" max="5367" width="30.125" style="235" customWidth="true"/>
    <col min="5368" max="5370" width="16.625" style="235" customWidth="true"/>
    <col min="5371" max="5371" width="30.125" style="235" customWidth="true"/>
    <col min="5372" max="5374" width="18" style="235" customWidth="true"/>
    <col min="5375" max="5379" width="9.125" style="235" hidden="true" customWidth="true"/>
    <col min="5380" max="5622" width="9.125" style="235"/>
    <col min="5623" max="5623" width="30.125" style="235" customWidth="true"/>
    <col min="5624" max="5626" width="16.625" style="235" customWidth="true"/>
    <col min="5627" max="5627" width="30.125" style="235" customWidth="true"/>
    <col min="5628" max="5630" width="18" style="235" customWidth="true"/>
    <col min="5631" max="5635" width="9.125" style="235" hidden="true" customWidth="true"/>
    <col min="5636" max="5878" width="9.125" style="235"/>
    <col min="5879" max="5879" width="30.125" style="235" customWidth="true"/>
    <col min="5880" max="5882" width="16.625" style="235" customWidth="true"/>
    <col min="5883" max="5883" width="30.125" style="235" customWidth="true"/>
    <col min="5884" max="5886" width="18" style="235" customWidth="true"/>
    <col min="5887" max="5891" width="9.125" style="235" hidden="true" customWidth="true"/>
    <col min="5892" max="6134" width="9.125" style="235"/>
    <col min="6135" max="6135" width="30.125" style="235" customWidth="true"/>
    <col min="6136" max="6138" width="16.625" style="235" customWidth="true"/>
    <col min="6139" max="6139" width="30.125" style="235" customWidth="true"/>
    <col min="6140" max="6142" width="18" style="235" customWidth="true"/>
    <col min="6143" max="6147" width="9.125" style="235" hidden="true" customWidth="true"/>
    <col min="6148" max="6390" width="9.125" style="235"/>
    <col min="6391" max="6391" width="30.125" style="235" customWidth="true"/>
    <col min="6392" max="6394" width="16.625" style="235" customWidth="true"/>
    <col min="6395" max="6395" width="30.125" style="235" customWidth="true"/>
    <col min="6396" max="6398" width="18" style="235" customWidth="true"/>
    <col min="6399" max="6403" width="9.125" style="235" hidden="true" customWidth="true"/>
    <col min="6404" max="6646" width="9.125" style="235"/>
    <col min="6647" max="6647" width="30.125" style="235" customWidth="true"/>
    <col min="6648" max="6650" width="16.625" style="235" customWidth="true"/>
    <col min="6651" max="6651" width="30.125" style="235" customWidth="true"/>
    <col min="6652" max="6654" width="18" style="235" customWidth="true"/>
    <col min="6655" max="6659" width="9.125" style="235" hidden="true" customWidth="true"/>
    <col min="6660" max="6902" width="9.125" style="235"/>
    <col min="6903" max="6903" width="30.125" style="235" customWidth="true"/>
    <col min="6904" max="6906" width="16.625" style="235" customWidth="true"/>
    <col min="6907" max="6907" width="30.125" style="235" customWidth="true"/>
    <col min="6908" max="6910" width="18" style="235" customWidth="true"/>
    <col min="6911" max="6915" width="9.125" style="235" hidden="true" customWidth="true"/>
    <col min="6916" max="7158" width="9.125" style="235"/>
    <col min="7159" max="7159" width="30.125" style="235" customWidth="true"/>
    <col min="7160" max="7162" width="16.625" style="235" customWidth="true"/>
    <col min="7163" max="7163" width="30.125" style="235" customWidth="true"/>
    <col min="7164" max="7166" width="18" style="235" customWidth="true"/>
    <col min="7167" max="7171" width="9.125" style="235" hidden="true" customWidth="true"/>
    <col min="7172" max="7414" width="9.125" style="235"/>
    <col min="7415" max="7415" width="30.125" style="235" customWidth="true"/>
    <col min="7416" max="7418" width="16.625" style="235" customWidth="true"/>
    <col min="7419" max="7419" width="30.125" style="235" customWidth="true"/>
    <col min="7420" max="7422" width="18" style="235" customWidth="true"/>
    <col min="7423" max="7427" width="9.125" style="235" hidden="true" customWidth="true"/>
    <col min="7428" max="7670" width="9.125" style="235"/>
    <col min="7671" max="7671" width="30.125" style="235" customWidth="true"/>
    <col min="7672" max="7674" width="16.625" style="235" customWidth="true"/>
    <col min="7675" max="7675" width="30.125" style="235" customWidth="true"/>
    <col min="7676" max="7678" width="18" style="235" customWidth="true"/>
    <col min="7679" max="7683" width="9.125" style="235" hidden="true" customWidth="true"/>
    <col min="7684" max="7926" width="9.125" style="235"/>
    <col min="7927" max="7927" width="30.125" style="235" customWidth="true"/>
    <col min="7928" max="7930" width="16.625" style="235" customWidth="true"/>
    <col min="7931" max="7931" width="30.125" style="235" customWidth="true"/>
    <col min="7932" max="7934" width="18" style="235" customWidth="true"/>
    <col min="7935" max="7939" width="9.125" style="235" hidden="true" customWidth="true"/>
    <col min="7940" max="8182" width="9.125" style="235"/>
    <col min="8183" max="8183" width="30.125" style="235" customWidth="true"/>
    <col min="8184" max="8186" width="16.625" style="235" customWidth="true"/>
    <col min="8187" max="8187" width="30.125" style="235" customWidth="true"/>
    <col min="8188" max="8190" width="18" style="235" customWidth="true"/>
    <col min="8191" max="8195" width="9.125" style="235" hidden="true" customWidth="true"/>
    <col min="8196" max="8438" width="9.125" style="235"/>
    <col min="8439" max="8439" width="30.125" style="235" customWidth="true"/>
    <col min="8440" max="8442" width="16.625" style="235" customWidth="true"/>
    <col min="8443" max="8443" width="30.125" style="235" customWidth="true"/>
    <col min="8444" max="8446" width="18" style="235" customWidth="true"/>
    <col min="8447" max="8451" width="9.125" style="235" hidden="true" customWidth="true"/>
    <col min="8452" max="8694" width="9.125" style="235"/>
    <col min="8695" max="8695" width="30.125" style="235" customWidth="true"/>
    <col min="8696" max="8698" width="16.625" style="235" customWidth="true"/>
    <col min="8699" max="8699" width="30.125" style="235" customWidth="true"/>
    <col min="8700" max="8702" width="18" style="235" customWidth="true"/>
    <col min="8703" max="8707" width="9.125" style="235" hidden="true" customWidth="true"/>
    <col min="8708" max="8950" width="9.125" style="235"/>
    <col min="8951" max="8951" width="30.125" style="235" customWidth="true"/>
    <col min="8952" max="8954" width="16.625" style="235" customWidth="true"/>
    <col min="8955" max="8955" width="30.125" style="235" customWidth="true"/>
    <col min="8956" max="8958" width="18" style="235" customWidth="true"/>
    <col min="8959" max="8963" width="9.125" style="235" hidden="true" customWidth="true"/>
    <col min="8964" max="9206" width="9.125" style="235"/>
    <col min="9207" max="9207" width="30.125" style="235" customWidth="true"/>
    <col min="9208" max="9210" width="16.625" style="235" customWidth="true"/>
    <col min="9211" max="9211" width="30.125" style="235" customWidth="true"/>
    <col min="9212" max="9214" width="18" style="235" customWidth="true"/>
    <col min="9215" max="9219" width="9.125" style="235" hidden="true" customWidth="true"/>
    <col min="9220" max="9462" width="9.125" style="235"/>
    <col min="9463" max="9463" width="30.125" style="235" customWidth="true"/>
    <col min="9464" max="9466" width="16.625" style="235" customWidth="true"/>
    <col min="9467" max="9467" width="30.125" style="235" customWidth="true"/>
    <col min="9468" max="9470" width="18" style="235" customWidth="true"/>
    <col min="9471" max="9475" width="9.125" style="235" hidden="true" customWidth="true"/>
    <col min="9476" max="9718" width="9.125" style="235"/>
    <col min="9719" max="9719" width="30.125" style="235" customWidth="true"/>
    <col min="9720" max="9722" width="16.625" style="235" customWidth="true"/>
    <col min="9723" max="9723" width="30.125" style="235" customWidth="true"/>
    <col min="9724" max="9726" width="18" style="235" customWidth="true"/>
    <col min="9727" max="9731" width="9.125" style="235" hidden="true" customWidth="true"/>
    <col min="9732" max="9974" width="9.125" style="235"/>
    <col min="9975" max="9975" width="30.125" style="235" customWidth="true"/>
    <col min="9976" max="9978" width="16.625" style="235" customWidth="true"/>
    <col min="9979" max="9979" width="30.125" style="235" customWidth="true"/>
    <col min="9980" max="9982" width="18" style="235" customWidth="true"/>
    <col min="9983" max="9987" width="9.125" style="235" hidden="true" customWidth="true"/>
    <col min="9988" max="10230" width="9.125" style="235"/>
    <col min="10231" max="10231" width="30.125" style="235" customWidth="true"/>
    <col min="10232" max="10234" width="16.625" style="235" customWidth="true"/>
    <col min="10235" max="10235" width="30.125" style="235" customWidth="true"/>
    <col min="10236" max="10238" width="18" style="235" customWidth="true"/>
    <col min="10239" max="10243" width="9.125" style="235" hidden="true" customWidth="true"/>
    <col min="10244" max="10486" width="9.125" style="235"/>
    <col min="10487" max="10487" width="30.125" style="235" customWidth="true"/>
    <col min="10488" max="10490" width="16.625" style="235" customWidth="true"/>
    <col min="10491" max="10491" width="30.125" style="235" customWidth="true"/>
    <col min="10492" max="10494" width="18" style="235" customWidth="true"/>
    <col min="10495" max="10499" width="9.125" style="235" hidden="true" customWidth="true"/>
    <col min="10500" max="10742" width="9.125" style="235"/>
    <col min="10743" max="10743" width="30.125" style="235" customWidth="true"/>
    <col min="10744" max="10746" width="16.625" style="235" customWidth="true"/>
    <col min="10747" max="10747" width="30.125" style="235" customWidth="true"/>
    <col min="10748" max="10750" width="18" style="235" customWidth="true"/>
    <col min="10751" max="10755" width="9.125" style="235" hidden="true" customWidth="true"/>
    <col min="10756" max="10998" width="9.125" style="235"/>
    <col min="10999" max="10999" width="30.125" style="235" customWidth="true"/>
    <col min="11000" max="11002" width="16.625" style="235" customWidth="true"/>
    <col min="11003" max="11003" width="30.125" style="235" customWidth="true"/>
    <col min="11004" max="11006" width="18" style="235" customWidth="true"/>
    <col min="11007" max="11011" width="9.125" style="235" hidden="true" customWidth="true"/>
    <col min="11012" max="11254" width="9.125" style="235"/>
    <col min="11255" max="11255" width="30.125" style="235" customWidth="true"/>
    <col min="11256" max="11258" width="16.625" style="235" customWidth="true"/>
    <col min="11259" max="11259" width="30.125" style="235" customWidth="true"/>
    <col min="11260" max="11262" width="18" style="235" customWidth="true"/>
    <col min="11263" max="11267" width="9.125" style="235" hidden="true" customWidth="true"/>
    <col min="11268" max="11510" width="9.125" style="235"/>
    <col min="11511" max="11511" width="30.125" style="235" customWidth="true"/>
    <col min="11512" max="11514" width="16.625" style="235" customWidth="true"/>
    <col min="11515" max="11515" width="30.125" style="235" customWidth="true"/>
    <col min="11516" max="11518" width="18" style="235" customWidth="true"/>
    <col min="11519" max="11523" width="9.125" style="235" hidden="true" customWidth="true"/>
    <col min="11524" max="11766" width="9.125" style="235"/>
    <col min="11767" max="11767" width="30.125" style="235" customWidth="true"/>
    <col min="11768" max="11770" width="16.625" style="235" customWidth="true"/>
    <col min="11771" max="11771" width="30.125" style="235" customWidth="true"/>
    <col min="11772" max="11774" width="18" style="235" customWidth="true"/>
    <col min="11775" max="11779" width="9.125" style="235" hidden="true" customWidth="true"/>
    <col min="11780" max="12022" width="9.125" style="235"/>
    <col min="12023" max="12023" width="30.125" style="235" customWidth="true"/>
    <col min="12024" max="12026" width="16.625" style="235" customWidth="true"/>
    <col min="12027" max="12027" width="30.125" style="235" customWidth="true"/>
    <col min="12028" max="12030" width="18" style="235" customWidth="true"/>
    <col min="12031" max="12035" width="9.125" style="235" hidden="true" customWidth="true"/>
    <col min="12036" max="12278" width="9.125" style="235"/>
    <col min="12279" max="12279" width="30.125" style="235" customWidth="true"/>
    <col min="12280" max="12282" width="16.625" style="235" customWidth="true"/>
    <col min="12283" max="12283" width="30.125" style="235" customWidth="true"/>
    <col min="12284" max="12286" width="18" style="235" customWidth="true"/>
    <col min="12287" max="12291" width="9.125" style="235" hidden="true" customWidth="true"/>
    <col min="12292" max="12534" width="9.125" style="235"/>
    <col min="12535" max="12535" width="30.125" style="235" customWidth="true"/>
    <col min="12536" max="12538" width="16.625" style="235" customWidth="true"/>
    <col min="12539" max="12539" width="30.125" style="235" customWidth="true"/>
    <col min="12540" max="12542" width="18" style="235" customWidth="true"/>
    <col min="12543" max="12547" width="9.125" style="235" hidden="true" customWidth="true"/>
    <col min="12548" max="12790" width="9.125" style="235"/>
    <col min="12791" max="12791" width="30.125" style="235" customWidth="true"/>
    <col min="12792" max="12794" width="16.625" style="235" customWidth="true"/>
    <col min="12795" max="12795" width="30.125" style="235" customWidth="true"/>
    <col min="12796" max="12798" width="18" style="235" customWidth="true"/>
    <col min="12799" max="12803" width="9.125" style="235" hidden="true" customWidth="true"/>
    <col min="12804" max="13046" width="9.125" style="235"/>
    <col min="13047" max="13047" width="30.125" style="235" customWidth="true"/>
    <col min="13048" max="13050" width="16.625" style="235" customWidth="true"/>
    <col min="13051" max="13051" width="30.125" style="235" customWidth="true"/>
    <col min="13052" max="13054" width="18" style="235" customWidth="true"/>
    <col min="13055" max="13059" width="9.125" style="235" hidden="true" customWidth="true"/>
    <col min="13060" max="13302" width="9.125" style="235"/>
    <col min="13303" max="13303" width="30.125" style="235" customWidth="true"/>
    <col min="13304" max="13306" width="16.625" style="235" customWidth="true"/>
    <col min="13307" max="13307" width="30.125" style="235" customWidth="true"/>
    <col min="13308" max="13310" width="18" style="235" customWidth="true"/>
    <col min="13311" max="13315" width="9.125" style="235" hidden="true" customWidth="true"/>
    <col min="13316" max="13558" width="9.125" style="235"/>
    <col min="13559" max="13559" width="30.125" style="235" customWidth="true"/>
    <col min="13560" max="13562" width="16.625" style="235" customWidth="true"/>
    <col min="13563" max="13563" width="30.125" style="235" customWidth="true"/>
    <col min="13564" max="13566" width="18" style="235" customWidth="true"/>
    <col min="13567" max="13571" width="9.125" style="235" hidden="true" customWidth="true"/>
    <col min="13572" max="13814" width="9.125" style="235"/>
    <col min="13815" max="13815" width="30.125" style="235" customWidth="true"/>
    <col min="13816" max="13818" width="16.625" style="235" customWidth="true"/>
    <col min="13819" max="13819" width="30.125" style="235" customWidth="true"/>
    <col min="13820" max="13822" width="18" style="235" customWidth="true"/>
    <col min="13823" max="13827" width="9.125" style="235" hidden="true" customWidth="true"/>
    <col min="13828" max="14070" width="9.125" style="235"/>
    <col min="14071" max="14071" width="30.125" style="235" customWidth="true"/>
    <col min="14072" max="14074" width="16.625" style="235" customWidth="true"/>
    <col min="14075" max="14075" width="30.125" style="235" customWidth="true"/>
    <col min="14076" max="14078" width="18" style="235" customWidth="true"/>
    <col min="14079" max="14083" width="9.125" style="235" hidden="true" customWidth="true"/>
    <col min="14084" max="14326" width="9.125" style="235"/>
    <col min="14327" max="14327" width="30.125" style="235" customWidth="true"/>
    <col min="14328" max="14330" width="16.625" style="235" customWidth="true"/>
    <col min="14331" max="14331" width="30.125" style="235" customWidth="true"/>
    <col min="14332" max="14334" width="18" style="235" customWidth="true"/>
    <col min="14335" max="14339" width="9.125" style="235" hidden="true" customWidth="true"/>
    <col min="14340" max="14582" width="9.125" style="235"/>
    <col min="14583" max="14583" width="30.125" style="235" customWidth="true"/>
    <col min="14584" max="14586" width="16.625" style="235" customWidth="true"/>
    <col min="14587" max="14587" width="30.125" style="235" customWidth="true"/>
    <col min="14588" max="14590" width="18" style="235" customWidth="true"/>
    <col min="14591" max="14595" width="9.125" style="235" hidden="true" customWidth="true"/>
    <col min="14596" max="14838" width="9.125" style="235"/>
    <col min="14839" max="14839" width="30.125" style="235" customWidth="true"/>
    <col min="14840" max="14842" width="16.625" style="235" customWidth="true"/>
    <col min="14843" max="14843" width="30.125" style="235" customWidth="true"/>
    <col min="14844" max="14846" width="18" style="235" customWidth="true"/>
    <col min="14847" max="14851" width="9.125" style="235" hidden="true" customWidth="true"/>
    <col min="14852" max="15094" width="9.125" style="235"/>
    <col min="15095" max="15095" width="30.125" style="235" customWidth="true"/>
    <col min="15096" max="15098" width="16.625" style="235" customWidth="true"/>
    <col min="15099" max="15099" width="30.125" style="235" customWidth="true"/>
    <col min="15100" max="15102" width="18" style="235" customWidth="true"/>
    <col min="15103" max="15107" width="9.125" style="235" hidden="true" customWidth="true"/>
    <col min="15108" max="15350" width="9.125" style="235"/>
    <col min="15351" max="15351" width="30.125" style="235" customWidth="true"/>
    <col min="15352" max="15354" width="16.625" style="235" customWidth="true"/>
    <col min="15355" max="15355" width="30.125" style="235" customWidth="true"/>
    <col min="15356" max="15358" width="18" style="235" customWidth="true"/>
    <col min="15359" max="15363" width="9.125" style="235" hidden="true" customWidth="true"/>
    <col min="15364" max="15606" width="9.125" style="235"/>
    <col min="15607" max="15607" width="30.125" style="235" customWidth="true"/>
    <col min="15608" max="15610" width="16.625" style="235" customWidth="true"/>
    <col min="15611" max="15611" width="30.125" style="235" customWidth="true"/>
    <col min="15612" max="15614" width="18" style="235" customWidth="true"/>
    <col min="15615" max="15619" width="9.125" style="235" hidden="true" customWidth="true"/>
    <col min="15620" max="15862" width="9.125" style="235"/>
    <col min="15863" max="15863" width="30.125" style="235" customWidth="true"/>
    <col min="15864" max="15866" width="16.625" style="235" customWidth="true"/>
    <col min="15867" max="15867" width="30.125" style="235" customWidth="true"/>
    <col min="15868" max="15870" width="18" style="235" customWidth="true"/>
    <col min="15871" max="15875" width="9.125" style="235" hidden="true" customWidth="true"/>
    <col min="15876" max="16118" width="9.125" style="235"/>
    <col min="16119" max="16119" width="30.125" style="235" customWidth="true"/>
    <col min="16120" max="16122" width="16.625" style="235" customWidth="true"/>
    <col min="16123" max="16123" width="30.125" style="235" customWidth="true"/>
    <col min="16124" max="16126" width="18" style="235" customWidth="true"/>
    <col min="16127" max="16131" width="9.125" style="235" hidden="true" customWidth="true"/>
    <col min="16132" max="16384" width="9.125" style="235"/>
  </cols>
  <sheetData>
    <row r="1" s="228" customFormat="true" ht="19.5" customHeight="true" spans="1:5">
      <c r="A1" s="185" t="s">
        <v>1498</v>
      </c>
      <c r="E1" s="253"/>
    </row>
    <row r="2" s="229" customFormat="true" ht="22.5" spans="1:5">
      <c r="A2" s="236" t="s">
        <v>1499</v>
      </c>
      <c r="B2" s="236"/>
      <c r="C2" s="236"/>
      <c r="D2" s="236"/>
      <c r="E2" s="236"/>
    </row>
    <row r="3" s="230" customFormat="true" ht="19.5" customHeight="true" spans="1:5">
      <c r="A3" s="237"/>
      <c r="E3" s="254" t="s">
        <v>3</v>
      </c>
    </row>
    <row r="4" s="230" customFormat="true" ht="31" customHeight="true" spans="1:5">
      <c r="A4" s="238" t="s">
        <v>1500</v>
      </c>
      <c r="B4" s="239"/>
      <c r="C4" s="240" t="s">
        <v>265</v>
      </c>
      <c r="D4" s="241" t="s">
        <v>267</v>
      </c>
      <c r="E4" s="241"/>
    </row>
    <row r="5" s="230" customFormat="true" ht="38.25" customHeight="true" spans="1:5">
      <c r="A5" s="242"/>
      <c r="B5" s="243"/>
      <c r="C5" s="244"/>
      <c r="D5" s="241" t="s">
        <v>270</v>
      </c>
      <c r="E5" s="255" t="s">
        <v>271</v>
      </c>
    </row>
    <row r="6" s="230" customFormat="true" ht="19.5" customHeight="true" spans="1:5">
      <c r="A6" s="245" t="s">
        <v>1501</v>
      </c>
      <c r="B6" s="246"/>
      <c r="C6" s="247">
        <v>0</v>
      </c>
      <c r="D6" s="247">
        <v>0</v>
      </c>
      <c r="E6" s="256">
        <v>0</v>
      </c>
    </row>
    <row r="7" s="230" customFormat="true" ht="19.5" customHeight="true" spans="1:5">
      <c r="A7" s="248" t="s">
        <v>1502</v>
      </c>
      <c r="B7" s="249" t="s">
        <v>1503</v>
      </c>
      <c r="C7" s="247">
        <f>C8+C9</f>
        <v>298</v>
      </c>
      <c r="D7" s="247">
        <f>D8+D9</f>
        <v>182</v>
      </c>
      <c r="E7" s="256">
        <f t="shared" ref="E6:E11" si="0">(D7/C7-1)*100</f>
        <v>-38.9261744966443</v>
      </c>
    </row>
    <row r="8" s="230" customFormat="true" ht="19.5" customHeight="true" spans="1:5">
      <c r="A8" s="248"/>
      <c r="B8" s="249" t="s">
        <v>1504</v>
      </c>
      <c r="C8" s="247">
        <v>0</v>
      </c>
      <c r="D8" s="247">
        <v>0</v>
      </c>
      <c r="E8" s="256"/>
    </row>
    <row r="9" s="230" customFormat="true" ht="19.5" customHeight="true" spans="1:5">
      <c r="A9" s="248"/>
      <c r="B9" s="249" t="s">
        <v>1505</v>
      </c>
      <c r="C9" s="247">
        <v>298</v>
      </c>
      <c r="D9" s="247">
        <v>182</v>
      </c>
      <c r="E9" s="256">
        <f t="shared" si="0"/>
        <v>-38.9261744966443</v>
      </c>
    </row>
    <row r="10" s="230" customFormat="true" ht="19.5" customHeight="true" spans="1:5">
      <c r="A10" s="245" t="s">
        <v>1506</v>
      </c>
      <c r="B10" s="246"/>
      <c r="C10" s="247">
        <v>76</v>
      </c>
      <c r="D10" s="247">
        <v>76</v>
      </c>
      <c r="E10" s="256">
        <f t="shared" si="0"/>
        <v>0</v>
      </c>
    </row>
    <row r="11" s="231" customFormat="true" ht="19.5" customHeight="true" spans="1:5">
      <c r="A11" s="250" t="s">
        <v>1312</v>
      </c>
      <c r="B11" s="251"/>
      <c r="C11" s="252">
        <f>C10+C7+C6</f>
        <v>374</v>
      </c>
      <c r="D11" s="252">
        <f>D10+D7+D6</f>
        <v>258</v>
      </c>
      <c r="E11" s="256">
        <f t="shared" si="0"/>
        <v>-31.0160427807487</v>
      </c>
    </row>
    <row r="12" s="232" customFormat="true" ht="18.75" customHeight="true" spans="1:5">
      <c r="A12" s="233"/>
      <c r="E12" s="234"/>
    </row>
  </sheetData>
  <mergeCells count="8">
    <mergeCell ref="A2:E2"/>
    <mergeCell ref="D4:E4"/>
    <mergeCell ref="A6:B6"/>
    <mergeCell ref="A10:B10"/>
    <mergeCell ref="A11:B11"/>
    <mergeCell ref="A7:A9"/>
    <mergeCell ref="C4:C5"/>
    <mergeCell ref="A4:B5"/>
  </mergeCells>
  <printOptions horizontalCentered="true"/>
  <pageMargins left="0.708333333333333" right="0.708333333333333" top="0.747916666666667" bottom="0.747916666666667" header="0.314583333333333" footer="0.314583333333333"/>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13"/>
  <sheetViews>
    <sheetView showGridLines="0" showZeros="0" zoomScale="130" zoomScaleNormal="130" workbookViewId="0">
      <pane ySplit="5" topLeftCell="A6" activePane="bottomLeft" state="frozen"/>
      <selection/>
      <selection pane="bottomLeft" activeCell="A2" sqref="A2:H2"/>
    </sheetView>
  </sheetViews>
  <sheetFormatPr defaultColWidth="9" defaultRowHeight="13.5" outlineLevelCol="7"/>
  <cols>
    <col min="1" max="1" width="64.125" style="181" customWidth="true"/>
    <col min="2" max="2" width="9.5" style="181" customWidth="true"/>
    <col min="3" max="3" width="8.625" style="181" customWidth="true"/>
    <col min="4" max="4" width="10.375" style="204" customWidth="true"/>
    <col min="5" max="5" width="64.125" style="181" customWidth="true"/>
    <col min="6" max="6" width="10.5" style="205" customWidth="true"/>
    <col min="7" max="7" width="8.625" style="205" customWidth="true"/>
    <col min="8" max="8" width="8.875" style="204" customWidth="true"/>
    <col min="9" max="16384" width="9" style="181"/>
  </cols>
  <sheetData>
    <row r="1" s="181" customFormat="true" ht="14.25" spans="1:8">
      <c r="A1" s="185" t="s">
        <v>1507</v>
      </c>
      <c r="B1" s="206"/>
      <c r="C1" s="206"/>
      <c r="D1" s="207"/>
      <c r="F1" s="205"/>
      <c r="G1" s="205"/>
      <c r="H1" s="204"/>
    </row>
    <row r="2" s="182" customFormat="true" ht="22.5" spans="1:8">
      <c r="A2" s="186" t="s">
        <v>1508</v>
      </c>
      <c r="B2" s="186"/>
      <c r="C2" s="186"/>
      <c r="D2" s="208"/>
      <c r="E2" s="186"/>
      <c r="F2" s="217"/>
      <c r="G2" s="217"/>
      <c r="H2" s="208"/>
    </row>
    <row r="3" s="181" customFormat="true" ht="14.25" customHeight="true" spans="4:8">
      <c r="D3" s="204"/>
      <c r="F3" s="205"/>
      <c r="G3" s="205" t="s">
        <v>3</v>
      </c>
      <c r="H3" s="204"/>
    </row>
    <row r="4" s="181" customFormat="true" ht="28" customHeight="true" spans="1:8">
      <c r="A4" s="209" t="s">
        <v>1288</v>
      </c>
      <c r="B4" s="209"/>
      <c r="C4" s="209"/>
      <c r="D4" s="210"/>
      <c r="E4" s="209" t="s">
        <v>1289</v>
      </c>
      <c r="F4" s="218"/>
      <c r="G4" s="218"/>
      <c r="H4" s="210"/>
    </row>
    <row r="5" s="184" customFormat="true" ht="19.5" customHeight="true" spans="1:8">
      <c r="A5" s="211" t="s">
        <v>264</v>
      </c>
      <c r="B5" s="211" t="s">
        <v>265</v>
      </c>
      <c r="C5" s="211" t="s">
        <v>267</v>
      </c>
      <c r="D5" s="212"/>
      <c r="E5" s="211" t="s">
        <v>264</v>
      </c>
      <c r="F5" s="219" t="s">
        <v>265</v>
      </c>
      <c r="G5" s="219" t="s">
        <v>267</v>
      </c>
      <c r="H5" s="212"/>
    </row>
    <row r="6" s="184" customFormat="true" ht="60" customHeight="true" spans="1:8">
      <c r="A6" s="211"/>
      <c r="B6" s="211"/>
      <c r="C6" s="211" t="s">
        <v>270</v>
      </c>
      <c r="D6" s="213" t="s">
        <v>271</v>
      </c>
      <c r="E6" s="211"/>
      <c r="F6" s="219"/>
      <c r="G6" s="219" t="s">
        <v>270</v>
      </c>
      <c r="H6" s="213" t="s">
        <v>271</v>
      </c>
    </row>
    <row r="7" s="181" customFormat="true" ht="17" customHeight="true" spans="1:8">
      <c r="A7" s="193" t="s">
        <v>1509</v>
      </c>
      <c r="B7" s="214"/>
      <c r="C7" s="214"/>
      <c r="D7" s="215"/>
      <c r="E7" s="193" t="s">
        <v>179</v>
      </c>
      <c r="F7" s="214">
        <f>F8+F14+F20</f>
        <v>0</v>
      </c>
      <c r="G7" s="214">
        <f>G8+G14+G20</f>
        <v>0</v>
      </c>
      <c r="H7" s="220"/>
    </row>
    <row r="8" s="181" customFormat="true" ht="17" customHeight="true" spans="1:8">
      <c r="A8" s="193" t="s">
        <v>1510</v>
      </c>
      <c r="B8" s="214"/>
      <c r="C8" s="214"/>
      <c r="D8" s="215"/>
      <c r="E8" s="195" t="s">
        <v>1511</v>
      </c>
      <c r="F8" s="214">
        <f>SUM(F9:F13)</f>
        <v>0</v>
      </c>
      <c r="G8" s="214">
        <f>SUM(G9:G13)</f>
        <v>0</v>
      </c>
      <c r="H8" s="220"/>
    </row>
    <row r="9" s="181" customFormat="true" ht="17" customHeight="true" spans="1:8">
      <c r="A9" s="193" t="s">
        <v>1512</v>
      </c>
      <c r="B9" s="214"/>
      <c r="C9" s="214"/>
      <c r="D9" s="215"/>
      <c r="E9" s="195" t="s">
        <v>1513</v>
      </c>
      <c r="F9" s="214"/>
      <c r="G9" s="214"/>
      <c r="H9" s="220"/>
    </row>
    <row r="10" s="181" customFormat="true" ht="17" customHeight="true" spans="1:8">
      <c r="A10" s="193" t="s">
        <v>1514</v>
      </c>
      <c r="B10" s="214"/>
      <c r="C10" s="214"/>
      <c r="D10" s="215"/>
      <c r="E10" s="195" t="s">
        <v>1515</v>
      </c>
      <c r="F10" s="214"/>
      <c r="G10" s="214"/>
      <c r="H10" s="220"/>
    </row>
    <row r="11" s="181" customFormat="true" ht="17" customHeight="true" spans="1:8">
      <c r="A11" s="193" t="s">
        <v>1516</v>
      </c>
      <c r="B11" s="214">
        <v>100</v>
      </c>
      <c r="C11" s="214">
        <v>100</v>
      </c>
      <c r="D11" s="215">
        <f t="shared" ref="D11:D13" si="0">(C11/B11-1)</f>
        <v>0</v>
      </c>
      <c r="E11" s="195" t="s">
        <v>1517</v>
      </c>
      <c r="F11" s="214"/>
      <c r="G11" s="214"/>
      <c r="H11" s="220"/>
    </row>
    <row r="12" s="181" customFormat="true" ht="17" customHeight="true" spans="1:8">
      <c r="A12" s="193" t="s">
        <v>1518</v>
      </c>
      <c r="B12" s="214">
        <f>SUM(B13:B17)</f>
        <v>50496</v>
      </c>
      <c r="C12" s="214">
        <f>SUM(C13:C17)</f>
        <v>65596</v>
      </c>
      <c r="D12" s="215">
        <f t="shared" si="0"/>
        <v>0.299033586818758</v>
      </c>
      <c r="E12" s="195" t="s">
        <v>1519</v>
      </c>
      <c r="F12" s="214"/>
      <c r="G12" s="214"/>
      <c r="H12" s="220"/>
    </row>
    <row r="13" s="181" customFormat="true" ht="17" customHeight="true" spans="1:8">
      <c r="A13" s="198" t="s">
        <v>1520</v>
      </c>
      <c r="B13" s="214">
        <f>54900-4404</f>
        <v>50496</v>
      </c>
      <c r="C13" s="214">
        <v>65596</v>
      </c>
      <c r="D13" s="215">
        <f t="shared" si="0"/>
        <v>0.299033586818758</v>
      </c>
      <c r="E13" s="195" t="s">
        <v>1521</v>
      </c>
      <c r="F13" s="214"/>
      <c r="G13" s="214"/>
      <c r="H13" s="220"/>
    </row>
    <row r="14" s="181" customFormat="true" ht="17" customHeight="true" spans="1:8">
      <c r="A14" s="198" t="s">
        <v>1522</v>
      </c>
      <c r="B14" s="214"/>
      <c r="C14" s="214"/>
      <c r="D14" s="215"/>
      <c r="E14" s="195" t="s">
        <v>1523</v>
      </c>
      <c r="F14" s="214">
        <f>SUM(F15:F19)</f>
        <v>0</v>
      </c>
      <c r="G14" s="214">
        <f>SUM(G15:G19)</f>
        <v>0</v>
      </c>
      <c r="H14" s="220"/>
    </row>
    <row r="15" s="181" customFormat="true" ht="17" customHeight="true" spans="1:8">
      <c r="A15" s="198" t="s">
        <v>1524</v>
      </c>
      <c r="B15" s="214"/>
      <c r="C15" s="214"/>
      <c r="D15" s="215"/>
      <c r="E15" s="195" t="s">
        <v>1525</v>
      </c>
      <c r="F15" s="214"/>
      <c r="G15" s="214"/>
      <c r="H15" s="220"/>
    </row>
    <row r="16" s="181" customFormat="true" ht="17" customHeight="true" spans="1:8">
      <c r="A16" s="198" t="s">
        <v>1526</v>
      </c>
      <c r="B16" s="214"/>
      <c r="C16" s="214"/>
      <c r="D16" s="215"/>
      <c r="E16" s="195" t="s">
        <v>1527</v>
      </c>
      <c r="F16" s="214"/>
      <c r="G16" s="214"/>
      <c r="H16" s="220"/>
    </row>
    <row r="17" s="181" customFormat="true" ht="17" customHeight="true" spans="1:8">
      <c r="A17" s="198" t="s">
        <v>1528</v>
      </c>
      <c r="B17" s="214"/>
      <c r="C17" s="214"/>
      <c r="D17" s="215"/>
      <c r="E17" s="195" t="s">
        <v>1529</v>
      </c>
      <c r="F17" s="214"/>
      <c r="G17" s="214"/>
      <c r="H17" s="220"/>
    </row>
    <row r="18" s="181" customFormat="true" ht="17" customHeight="true" spans="1:8">
      <c r="A18" s="193" t="s">
        <v>1530</v>
      </c>
      <c r="B18" s="214"/>
      <c r="C18" s="214"/>
      <c r="D18" s="215"/>
      <c r="E18" s="195" t="s">
        <v>1531</v>
      </c>
      <c r="F18" s="214"/>
      <c r="G18" s="214"/>
      <c r="H18" s="220"/>
    </row>
    <row r="19" s="181" customFormat="true" ht="17" customHeight="true" spans="1:8">
      <c r="A19" s="193" t="s">
        <v>1532</v>
      </c>
      <c r="B19" s="214"/>
      <c r="C19" s="214"/>
      <c r="D19" s="215"/>
      <c r="E19" s="195" t="s">
        <v>1533</v>
      </c>
      <c r="F19" s="214"/>
      <c r="G19" s="214"/>
      <c r="H19" s="220"/>
    </row>
    <row r="20" s="181" customFormat="true" ht="17" customHeight="true" spans="1:8">
      <c r="A20" s="198" t="s">
        <v>1534</v>
      </c>
      <c r="B20" s="214"/>
      <c r="C20" s="214"/>
      <c r="D20" s="215"/>
      <c r="E20" s="195" t="s">
        <v>1535</v>
      </c>
      <c r="F20" s="214">
        <f>SUM(F21:F22)</f>
        <v>0</v>
      </c>
      <c r="G20" s="214">
        <f>SUM(G21:G22)</f>
        <v>0</v>
      </c>
      <c r="H20" s="220"/>
    </row>
    <row r="21" s="181" customFormat="true" ht="17" customHeight="true" spans="1:8">
      <c r="A21" s="198" t="s">
        <v>1536</v>
      </c>
      <c r="B21" s="214"/>
      <c r="C21" s="214"/>
      <c r="D21" s="215"/>
      <c r="E21" s="197" t="s">
        <v>1537</v>
      </c>
      <c r="F21" s="214"/>
      <c r="G21" s="214"/>
      <c r="H21" s="220"/>
    </row>
    <row r="22" s="181" customFormat="true" ht="17" customHeight="true" spans="1:8">
      <c r="A22" s="193" t="s">
        <v>1538</v>
      </c>
      <c r="B22" s="214"/>
      <c r="C22" s="214"/>
      <c r="D22" s="215"/>
      <c r="E22" s="197" t="s">
        <v>1539</v>
      </c>
      <c r="F22" s="214"/>
      <c r="G22" s="214"/>
      <c r="H22" s="220"/>
    </row>
    <row r="23" s="181" customFormat="true" ht="17" customHeight="true" spans="1:8">
      <c r="A23" s="193" t="s">
        <v>1540</v>
      </c>
      <c r="B23" s="214"/>
      <c r="C23" s="214"/>
      <c r="D23" s="215"/>
      <c r="E23" s="193" t="s">
        <v>181</v>
      </c>
      <c r="F23" s="214">
        <f>F24+F28+F32</f>
        <v>0</v>
      </c>
      <c r="G23" s="214">
        <f>G24+G28+G32</f>
        <v>0</v>
      </c>
      <c r="H23" s="220"/>
    </row>
    <row r="24" s="181" customFormat="true" ht="17" customHeight="true" spans="1:8">
      <c r="A24" s="193" t="s">
        <v>1541</v>
      </c>
      <c r="B24" s="214"/>
      <c r="C24" s="214"/>
      <c r="D24" s="215"/>
      <c r="E24" s="195" t="s">
        <v>1542</v>
      </c>
      <c r="F24" s="214">
        <f>SUM(F25:F27)</f>
        <v>0</v>
      </c>
      <c r="G24" s="214">
        <f>SUM(G25:G27)</f>
        <v>0</v>
      </c>
      <c r="H24" s="220"/>
    </row>
    <row r="25" s="181" customFormat="true" ht="17" customHeight="true" spans="1:8">
      <c r="A25" s="193" t="s">
        <v>1543</v>
      </c>
      <c r="B25" s="214"/>
      <c r="C25" s="214"/>
      <c r="D25" s="215"/>
      <c r="E25" s="195" t="s">
        <v>1544</v>
      </c>
      <c r="F25" s="214"/>
      <c r="G25" s="214"/>
      <c r="H25" s="220"/>
    </row>
    <row r="26" s="181" customFormat="true" ht="17" customHeight="true" spans="1:8">
      <c r="A26" s="193" t="s">
        <v>1545</v>
      </c>
      <c r="B26" s="214">
        <v>700</v>
      </c>
      <c r="C26" s="214">
        <v>800</v>
      </c>
      <c r="D26" s="215">
        <f>(C26/B26-1)</f>
        <v>0.142857142857143</v>
      </c>
      <c r="E26" s="195" t="s">
        <v>1546</v>
      </c>
      <c r="F26" s="214"/>
      <c r="G26" s="214"/>
      <c r="H26" s="220"/>
    </row>
    <row r="27" s="181" customFormat="true" ht="17" customHeight="true" spans="1:8">
      <c r="A27" s="193" t="s">
        <v>1547</v>
      </c>
      <c r="B27" s="214">
        <f>SUM(B28:B32)</f>
        <v>0</v>
      </c>
      <c r="C27" s="214">
        <f>SUM(C28:C32)</f>
        <v>0</v>
      </c>
      <c r="D27" s="215"/>
      <c r="E27" s="195" t="s">
        <v>1548</v>
      </c>
      <c r="F27" s="214"/>
      <c r="G27" s="214"/>
      <c r="H27" s="220"/>
    </row>
    <row r="28" s="181" customFormat="true" ht="17" customHeight="true" spans="1:8">
      <c r="A28" s="198" t="s">
        <v>1549</v>
      </c>
      <c r="B28" s="214"/>
      <c r="C28" s="214"/>
      <c r="D28" s="215"/>
      <c r="E28" s="195" t="s">
        <v>1550</v>
      </c>
      <c r="F28" s="214">
        <f>SUM(F29:F31)</f>
        <v>0</v>
      </c>
      <c r="G28" s="214">
        <f>SUM(G29:G31)</f>
        <v>0</v>
      </c>
      <c r="H28" s="220"/>
    </row>
    <row r="29" s="181" customFormat="true" ht="17" customHeight="true" spans="1:8">
      <c r="A29" s="198" t="s">
        <v>1551</v>
      </c>
      <c r="B29" s="214"/>
      <c r="C29" s="214"/>
      <c r="D29" s="215"/>
      <c r="E29" s="195" t="s">
        <v>1544</v>
      </c>
      <c r="F29" s="214"/>
      <c r="G29" s="214"/>
      <c r="H29" s="220"/>
    </row>
    <row r="30" s="181" customFormat="true" ht="17" customHeight="true" spans="1:8">
      <c r="A30" s="198" t="s">
        <v>1552</v>
      </c>
      <c r="B30" s="214"/>
      <c r="C30" s="214"/>
      <c r="D30" s="215"/>
      <c r="E30" s="195" t="s">
        <v>1546</v>
      </c>
      <c r="F30" s="214"/>
      <c r="G30" s="214"/>
      <c r="H30" s="220"/>
    </row>
    <row r="31" s="181" customFormat="true" ht="17" customHeight="true" spans="1:8">
      <c r="A31" s="198" t="s">
        <v>1553</v>
      </c>
      <c r="B31" s="214"/>
      <c r="C31" s="214"/>
      <c r="D31" s="215"/>
      <c r="E31" s="196" t="s">
        <v>1554</v>
      </c>
      <c r="F31" s="214"/>
      <c r="G31" s="214"/>
      <c r="H31" s="220"/>
    </row>
    <row r="32" s="181" customFormat="true" ht="17" customHeight="true" spans="1:8">
      <c r="A32" s="198" t="s">
        <v>1555</v>
      </c>
      <c r="B32" s="214"/>
      <c r="C32" s="214"/>
      <c r="D32" s="215"/>
      <c r="E32" s="195" t="s">
        <v>1556</v>
      </c>
      <c r="F32" s="214">
        <f>SUM(F33:F34)</f>
        <v>0</v>
      </c>
      <c r="G32" s="214">
        <f>SUM(G33:G34)</f>
        <v>0</v>
      </c>
      <c r="H32" s="220"/>
    </row>
    <row r="33" s="181" customFormat="true" ht="17" customHeight="true" spans="1:8">
      <c r="A33" s="193" t="s">
        <v>1557</v>
      </c>
      <c r="B33" s="214"/>
      <c r="C33" s="214"/>
      <c r="D33" s="215"/>
      <c r="E33" s="197" t="s">
        <v>1546</v>
      </c>
      <c r="F33" s="214"/>
      <c r="G33" s="214"/>
      <c r="H33" s="220"/>
    </row>
    <row r="34" s="181" customFormat="true" ht="15" customHeight="true" spans="1:8">
      <c r="A34" s="198" t="s">
        <v>1558</v>
      </c>
      <c r="B34" s="214">
        <f>B35+B36+B37+B41+B42+B43+B44+B45+B46+B49+B50</f>
        <v>4404</v>
      </c>
      <c r="C34" s="214">
        <f>C35+C36+C37+C41+C42+C43+C44+C45+C46+C49+C50</f>
        <v>4404</v>
      </c>
      <c r="D34" s="215">
        <f>(C34/B34-1)</f>
        <v>0</v>
      </c>
      <c r="E34" s="197" t="s">
        <v>1559</v>
      </c>
      <c r="F34" s="214"/>
      <c r="G34" s="214"/>
      <c r="H34" s="220"/>
    </row>
    <row r="35" s="181" customFormat="true" ht="17" customHeight="true" spans="1:8">
      <c r="A35" s="216" t="s">
        <v>1560</v>
      </c>
      <c r="B35" s="214"/>
      <c r="C35" s="214"/>
      <c r="D35" s="215"/>
      <c r="E35" s="193" t="s">
        <v>183</v>
      </c>
      <c r="F35" s="214">
        <f>F36+F41</f>
        <v>0</v>
      </c>
      <c r="G35" s="214">
        <f>G36+G41</f>
        <v>0</v>
      </c>
      <c r="H35" s="220"/>
    </row>
    <row r="36" s="181" customFormat="true" ht="17" customHeight="true" spans="1:8">
      <c r="A36" s="216" t="s">
        <v>1561</v>
      </c>
      <c r="B36" s="214"/>
      <c r="C36" s="214"/>
      <c r="D36" s="215"/>
      <c r="E36" s="193" t="s">
        <v>1562</v>
      </c>
      <c r="F36" s="214">
        <f>SUM(F37:F40)</f>
        <v>0</v>
      </c>
      <c r="G36" s="214">
        <f>SUM(G37:G40)</f>
        <v>0</v>
      </c>
      <c r="H36" s="220"/>
    </row>
    <row r="37" s="181" customFormat="true" ht="17" customHeight="true" spans="1:8">
      <c r="A37" s="216" t="s">
        <v>1563</v>
      </c>
      <c r="B37" s="214">
        <f>SUM(B38:B40)</f>
        <v>3004</v>
      </c>
      <c r="C37" s="214">
        <f>SUM(C38:C40)</f>
        <v>3004</v>
      </c>
      <c r="D37" s="215">
        <f>(C37/B37-1)</f>
        <v>0</v>
      </c>
      <c r="E37" s="193" t="s">
        <v>1564</v>
      </c>
      <c r="F37" s="214"/>
      <c r="G37" s="214"/>
      <c r="H37" s="220"/>
    </row>
    <row r="38" s="181" customFormat="true" ht="17" customHeight="true" spans="1:8">
      <c r="A38" s="216" t="s">
        <v>1565</v>
      </c>
      <c r="B38" s="214"/>
      <c r="C38" s="214"/>
      <c r="D38" s="215"/>
      <c r="E38" s="193" t="s">
        <v>1566</v>
      </c>
      <c r="F38" s="214"/>
      <c r="G38" s="214"/>
      <c r="H38" s="220"/>
    </row>
    <row r="39" s="181" customFormat="true" ht="17" customHeight="true" spans="1:8">
      <c r="A39" s="195" t="s">
        <v>1567</v>
      </c>
      <c r="B39" s="214"/>
      <c r="C39" s="214"/>
      <c r="D39" s="215"/>
      <c r="E39" s="193" t="s">
        <v>1568</v>
      </c>
      <c r="F39" s="214"/>
      <c r="G39" s="214"/>
      <c r="H39" s="220"/>
    </row>
    <row r="40" s="181" customFormat="true" ht="17" customHeight="true" spans="1:8">
      <c r="A40" s="195" t="s">
        <v>1569</v>
      </c>
      <c r="B40" s="214">
        <v>3004</v>
      </c>
      <c r="C40" s="214">
        <v>3004</v>
      </c>
      <c r="D40" s="215">
        <f>(C40/B40-1)</f>
        <v>0</v>
      </c>
      <c r="E40" s="193" t="s">
        <v>1570</v>
      </c>
      <c r="F40" s="214"/>
      <c r="G40" s="214"/>
      <c r="H40" s="220"/>
    </row>
    <row r="41" s="181" customFormat="true" ht="17" customHeight="true" spans="1:8">
      <c r="A41" s="216" t="s">
        <v>1571</v>
      </c>
      <c r="B41" s="214"/>
      <c r="C41" s="214"/>
      <c r="D41" s="215"/>
      <c r="E41" s="193" t="s">
        <v>1572</v>
      </c>
      <c r="F41" s="214">
        <f>SUM(F42:F45)</f>
        <v>0</v>
      </c>
      <c r="G41" s="214">
        <f>SUM(G42:G45)</f>
        <v>0</v>
      </c>
      <c r="H41" s="220"/>
    </row>
    <row r="42" s="181" customFormat="true" ht="17" customHeight="true" spans="1:8">
      <c r="A42" s="216" t="s">
        <v>1573</v>
      </c>
      <c r="B42" s="214"/>
      <c r="C42" s="214"/>
      <c r="D42" s="215"/>
      <c r="E42" s="193" t="s">
        <v>1574</v>
      </c>
      <c r="F42" s="214"/>
      <c r="G42" s="214"/>
      <c r="H42" s="220"/>
    </row>
    <row r="43" s="181" customFormat="true" ht="17" customHeight="true" spans="1:8">
      <c r="A43" s="216" t="s">
        <v>1575</v>
      </c>
      <c r="B43" s="214"/>
      <c r="C43" s="214"/>
      <c r="D43" s="215"/>
      <c r="E43" s="193" t="s">
        <v>1576</v>
      </c>
      <c r="F43" s="214"/>
      <c r="G43" s="214"/>
      <c r="H43" s="220"/>
    </row>
    <row r="44" s="181" customFormat="true" ht="17" customHeight="true" spans="1:8">
      <c r="A44" s="216" t="s">
        <v>1577</v>
      </c>
      <c r="B44" s="214"/>
      <c r="C44" s="214"/>
      <c r="D44" s="215"/>
      <c r="E44" s="193" t="s">
        <v>1578</v>
      </c>
      <c r="F44" s="214"/>
      <c r="G44" s="214"/>
      <c r="H44" s="220"/>
    </row>
    <row r="45" s="181" customFormat="true" ht="17" customHeight="true" spans="1:8">
      <c r="A45" s="216" t="s">
        <v>1579</v>
      </c>
      <c r="B45" s="214"/>
      <c r="C45" s="214"/>
      <c r="D45" s="215"/>
      <c r="E45" s="193" t="s">
        <v>1580</v>
      </c>
      <c r="F45" s="214"/>
      <c r="G45" s="214"/>
      <c r="H45" s="220"/>
    </row>
    <row r="46" s="181" customFormat="true" ht="17" customHeight="true" spans="1:8">
      <c r="A46" s="216" t="s">
        <v>1581</v>
      </c>
      <c r="B46" s="214"/>
      <c r="C46" s="214"/>
      <c r="D46" s="215"/>
      <c r="E46" s="193" t="s">
        <v>184</v>
      </c>
      <c r="F46" s="214">
        <f>F47+F63+F67+F68+F74+F78+F82+F86+F92+F95</f>
        <v>43836</v>
      </c>
      <c r="G46" s="214">
        <f>G47+G63+G67+G68+G74+G78+G82+G86+G92+G95</f>
        <v>4746</v>
      </c>
      <c r="H46" s="220">
        <f t="shared" ref="H46:H48" si="1">(G46/F46-1)</f>
        <v>-0.891732822337804</v>
      </c>
    </row>
    <row r="47" s="183" customFormat="true" ht="17" customHeight="true" spans="1:8">
      <c r="A47" s="198" t="s">
        <v>1582</v>
      </c>
      <c r="B47" s="214"/>
      <c r="C47" s="214"/>
      <c r="D47" s="215"/>
      <c r="E47" s="193" t="s">
        <v>187</v>
      </c>
      <c r="F47" s="214">
        <f>SUM(F48:F62)</f>
        <v>43036</v>
      </c>
      <c r="G47" s="214">
        <f>SUM(G48:G62)</f>
        <v>3846</v>
      </c>
      <c r="H47" s="220">
        <f t="shared" si="1"/>
        <v>-0.910632958453388</v>
      </c>
    </row>
    <row r="48" s="181" customFormat="true" ht="17" customHeight="true" spans="1:8">
      <c r="A48" s="195" t="s">
        <v>1583</v>
      </c>
      <c r="B48" s="214"/>
      <c r="C48" s="214"/>
      <c r="D48" s="215"/>
      <c r="E48" s="196" t="s">
        <v>1584</v>
      </c>
      <c r="F48" s="214"/>
      <c r="G48" s="214"/>
      <c r="H48" s="220">
        <v>0</v>
      </c>
    </row>
    <row r="49" s="181" customFormat="true" ht="17" customHeight="true" spans="1:8">
      <c r="A49" s="216" t="s">
        <v>1585</v>
      </c>
      <c r="B49" s="214"/>
      <c r="C49" s="214"/>
      <c r="D49" s="215"/>
      <c r="E49" s="196" t="s">
        <v>1586</v>
      </c>
      <c r="F49" s="214"/>
      <c r="G49" s="214"/>
      <c r="H49" s="220"/>
    </row>
    <row r="50" s="181" customFormat="true" ht="17" customHeight="true" spans="1:8">
      <c r="A50" s="216" t="s">
        <v>1587</v>
      </c>
      <c r="B50" s="214">
        <f>SUM(B51:B52)</f>
        <v>1400</v>
      </c>
      <c r="C50" s="214">
        <f>SUM(C51:C52)</f>
        <v>1400</v>
      </c>
      <c r="D50" s="215">
        <f>(C50/B50-1)</f>
        <v>0</v>
      </c>
      <c r="E50" s="196" t="s">
        <v>1588</v>
      </c>
      <c r="F50" s="214"/>
      <c r="G50" s="214"/>
      <c r="H50" s="220"/>
    </row>
    <row r="51" s="181" customFormat="true" ht="17" customHeight="true" spans="1:8">
      <c r="A51" s="216" t="s">
        <v>1589</v>
      </c>
      <c r="B51" s="214"/>
      <c r="C51" s="214"/>
      <c r="D51" s="215"/>
      <c r="E51" s="196" t="s">
        <v>1590</v>
      </c>
      <c r="F51" s="214"/>
      <c r="G51" s="214"/>
      <c r="H51" s="220"/>
    </row>
    <row r="52" s="181" customFormat="true" ht="17" customHeight="true" spans="1:8">
      <c r="A52" s="195" t="s">
        <v>1591</v>
      </c>
      <c r="B52" s="214">
        <v>1400</v>
      </c>
      <c r="C52" s="214">
        <v>1400</v>
      </c>
      <c r="D52" s="215">
        <f>(C52/B52-1)</f>
        <v>0</v>
      </c>
      <c r="E52" s="196" t="s">
        <v>1592</v>
      </c>
      <c r="F52" s="214"/>
      <c r="G52" s="214"/>
      <c r="H52" s="220">
        <v>0</v>
      </c>
    </row>
    <row r="53" s="181" customFormat="true" ht="17" customHeight="true" spans="1:8">
      <c r="A53" s="195"/>
      <c r="B53" s="214"/>
      <c r="C53" s="214"/>
      <c r="D53" s="215"/>
      <c r="E53" s="196" t="s">
        <v>1593</v>
      </c>
      <c r="F53" s="214"/>
      <c r="G53" s="214"/>
      <c r="H53" s="220"/>
    </row>
    <row r="54" s="181" customFormat="true" ht="17" customHeight="true" spans="1:8">
      <c r="A54" s="195"/>
      <c r="B54" s="214"/>
      <c r="C54" s="214"/>
      <c r="D54" s="215"/>
      <c r="E54" s="196" t="s">
        <v>1594</v>
      </c>
      <c r="F54" s="214"/>
      <c r="G54" s="214"/>
      <c r="H54" s="220"/>
    </row>
    <row r="55" s="181" customFormat="true" ht="17" customHeight="true" spans="1:8">
      <c r="A55" s="195"/>
      <c r="B55" s="214"/>
      <c r="C55" s="214"/>
      <c r="D55" s="215"/>
      <c r="E55" s="196" t="s">
        <v>1595</v>
      </c>
      <c r="F55" s="214"/>
      <c r="G55" s="214"/>
      <c r="H55" s="220"/>
    </row>
    <row r="56" s="181" customFormat="true" ht="17" customHeight="true" spans="1:8">
      <c r="A56" s="195"/>
      <c r="B56" s="214"/>
      <c r="C56" s="214"/>
      <c r="D56" s="215"/>
      <c r="E56" s="196" t="s">
        <v>1596</v>
      </c>
      <c r="F56" s="214"/>
      <c r="G56" s="214"/>
      <c r="H56" s="220"/>
    </row>
    <row r="57" s="181" customFormat="true" ht="17" customHeight="true" spans="1:8">
      <c r="A57" s="195"/>
      <c r="B57" s="214"/>
      <c r="C57" s="214"/>
      <c r="D57" s="215"/>
      <c r="E57" s="196" t="s">
        <v>1597</v>
      </c>
      <c r="F57" s="214"/>
      <c r="G57" s="214"/>
      <c r="H57" s="220"/>
    </row>
    <row r="58" s="181" customFormat="true" ht="17" customHeight="true" spans="1:8">
      <c r="A58" s="195"/>
      <c r="B58" s="214"/>
      <c r="C58" s="214"/>
      <c r="D58" s="215"/>
      <c r="E58" s="196" t="s">
        <v>1188</v>
      </c>
      <c r="F58" s="214"/>
      <c r="G58" s="214"/>
      <c r="H58" s="220"/>
    </row>
    <row r="59" s="181" customFormat="true" ht="17" customHeight="true" spans="1:8">
      <c r="A59" s="195"/>
      <c r="B59" s="214"/>
      <c r="C59" s="214"/>
      <c r="D59" s="215"/>
      <c r="E59" s="196" t="s">
        <v>1598</v>
      </c>
      <c r="F59" s="214">
        <v>43036</v>
      </c>
      <c r="G59" s="214">
        <f>3463+283+100</f>
        <v>3846</v>
      </c>
      <c r="H59" s="220">
        <f>(G59/F59-1)</f>
        <v>-0.910632958453388</v>
      </c>
    </row>
    <row r="60" s="181" customFormat="true" ht="17" customHeight="true" spans="1:8">
      <c r="A60" s="195"/>
      <c r="B60" s="214"/>
      <c r="C60" s="214"/>
      <c r="D60" s="215"/>
      <c r="E60" s="221" t="s">
        <v>1599</v>
      </c>
      <c r="F60" s="214"/>
      <c r="G60" s="214"/>
      <c r="H60" s="220"/>
    </row>
    <row r="61" s="181" customFormat="true" ht="17" customHeight="true" spans="1:8">
      <c r="A61" s="195"/>
      <c r="B61" s="214"/>
      <c r="C61" s="214"/>
      <c r="D61" s="215"/>
      <c r="E61" s="221" t="s">
        <v>1600</v>
      </c>
      <c r="F61" s="214"/>
      <c r="G61" s="214"/>
      <c r="H61" s="220"/>
    </row>
    <row r="62" s="181" customFormat="true" ht="17" customHeight="true" spans="1:8">
      <c r="A62" s="195"/>
      <c r="B62" s="214"/>
      <c r="C62" s="214"/>
      <c r="D62" s="215"/>
      <c r="E62" s="221" t="s">
        <v>1601</v>
      </c>
      <c r="F62" s="214"/>
      <c r="G62" s="214"/>
      <c r="H62" s="220"/>
    </row>
    <row r="63" s="181" customFormat="true" ht="17" customHeight="true" spans="1:8">
      <c r="A63" s="195"/>
      <c r="B63" s="214"/>
      <c r="C63" s="214"/>
      <c r="D63" s="215"/>
      <c r="E63" s="193" t="s">
        <v>1602</v>
      </c>
      <c r="F63" s="214">
        <f>SUM(F64:F66)</f>
        <v>0</v>
      </c>
      <c r="G63" s="214">
        <f>SUM(G64:G66)</f>
        <v>0</v>
      </c>
      <c r="H63" s="220"/>
    </row>
    <row r="64" s="181" customFormat="true" ht="17" customHeight="true" spans="1:8">
      <c r="A64" s="195"/>
      <c r="B64" s="214"/>
      <c r="C64" s="214"/>
      <c r="D64" s="215"/>
      <c r="E64" s="196" t="s">
        <v>1584</v>
      </c>
      <c r="F64" s="214"/>
      <c r="G64" s="214"/>
      <c r="H64" s="220"/>
    </row>
    <row r="65" s="181" customFormat="true" ht="17" customHeight="true" spans="1:8">
      <c r="A65" s="195"/>
      <c r="B65" s="214"/>
      <c r="C65" s="214"/>
      <c r="D65" s="215"/>
      <c r="E65" s="196" t="s">
        <v>1586</v>
      </c>
      <c r="F65" s="214"/>
      <c r="G65" s="214"/>
      <c r="H65" s="220"/>
    </row>
    <row r="66" s="181" customFormat="true" ht="17" customHeight="true" spans="1:8">
      <c r="A66" s="195"/>
      <c r="B66" s="214"/>
      <c r="C66" s="214"/>
      <c r="D66" s="215"/>
      <c r="E66" s="196" t="s">
        <v>1603</v>
      </c>
      <c r="F66" s="214"/>
      <c r="G66" s="214"/>
      <c r="H66" s="220"/>
    </row>
    <row r="67" s="181" customFormat="true" ht="17" customHeight="true" spans="1:8">
      <c r="A67" s="195"/>
      <c r="B67" s="214"/>
      <c r="C67" s="214"/>
      <c r="D67" s="215"/>
      <c r="E67" s="193" t="s">
        <v>190</v>
      </c>
      <c r="F67" s="214">
        <v>100</v>
      </c>
      <c r="G67" s="214">
        <v>100</v>
      </c>
      <c r="H67" s="220">
        <f>(G67/F67-1)</f>
        <v>0</v>
      </c>
    </row>
    <row r="68" s="181" customFormat="true" ht="17" customHeight="true" spans="1:8">
      <c r="A68" s="195"/>
      <c r="B68" s="214"/>
      <c r="C68" s="214"/>
      <c r="D68" s="215"/>
      <c r="E68" s="193" t="s">
        <v>193</v>
      </c>
      <c r="F68" s="214">
        <f>SUM(F69:F73)</f>
        <v>0</v>
      </c>
      <c r="G68" s="214">
        <f>SUM(G69:G73)</f>
        <v>0</v>
      </c>
      <c r="H68" s="220"/>
    </row>
    <row r="69" s="181" customFormat="true" ht="17" customHeight="true" spans="1:8">
      <c r="A69" s="193"/>
      <c r="B69" s="214"/>
      <c r="C69" s="214"/>
      <c r="D69" s="215"/>
      <c r="E69" s="196" t="s">
        <v>1604</v>
      </c>
      <c r="F69" s="214"/>
      <c r="G69" s="214"/>
      <c r="H69" s="220"/>
    </row>
    <row r="70" s="181" customFormat="true" ht="17" customHeight="true" spans="1:8">
      <c r="A70" s="193"/>
      <c r="B70" s="214"/>
      <c r="C70" s="214"/>
      <c r="D70" s="215"/>
      <c r="E70" s="196" t="s">
        <v>1605</v>
      </c>
      <c r="F70" s="214"/>
      <c r="G70" s="214"/>
      <c r="H70" s="220"/>
    </row>
    <row r="71" s="181" customFormat="true" ht="17" customHeight="true" spans="1:8">
      <c r="A71" s="193"/>
      <c r="B71" s="214"/>
      <c r="C71" s="214"/>
      <c r="D71" s="215"/>
      <c r="E71" s="196" t="s">
        <v>1606</v>
      </c>
      <c r="F71" s="214"/>
      <c r="G71" s="214"/>
      <c r="H71" s="220"/>
    </row>
    <row r="72" s="181" customFormat="true" ht="17" customHeight="true" spans="1:8">
      <c r="A72" s="193"/>
      <c r="B72" s="214"/>
      <c r="C72" s="214"/>
      <c r="D72" s="215"/>
      <c r="E72" s="196" t="s">
        <v>1607</v>
      </c>
      <c r="F72" s="214"/>
      <c r="G72" s="214"/>
      <c r="H72" s="220"/>
    </row>
    <row r="73" s="181" customFormat="true" ht="17" customHeight="true" spans="1:8">
      <c r="A73" s="193"/>
      <c r="B73" s="214"/>
      <c r="C73" s="214"/>
      <c r="D73" s="215"/>
      <c r="E73" s="196" t="s">
        <v>1608</v>
      </c>
      <c r="F73" s="214"/>
      <c r="G73" s="214"/>
      <c r="H73" s="220"/>
    </row>
    <row r="74" s="181" customFormat="true" ht="17" customHeight="true" spans="1:8">
      <c r="A74" s="193"/>
      <c r="B74" s="214"/>
      <c r="C74" s="214"/>
      <c r="D74" s="215"/>
      <c r="E74" s="193" t="s">
        <v>195</v>
      </c>
      <c r="F74" s="214">
        <f>SUM(F75:F77)</f>
        <v>700</v>
      </c>
      <c r="G74" s="214">
        <f>SUM(G75:G77)</f>
        <v>800</v>
      </c>
      <c r="H74" s="220">
        <f>(G74/F74-1)</f>
        <v>0.142857142857143</v>
      </c>
    </row>
    <row r="75" s="181" customFormat="true" ht="17" customHeight="true" spans="1:8">
      <c r="A75" s="193"/>
      <c r="B75" s="214"/>
      <c r="C75" s="214"/>
      <c r="D75" s="215"/>
      <c r="E75" s="193" t="s">
        <v>1609</v>
      </c>
      <c r="F75" s="214"/>
      <c r="G75" s="214"/>
      <c r="H75" s="220"/>
    </row>
    <row r="76" s="181" customFormat="true" ht="17" customHeight="true" spans="1:8">
      <c r="A76" s="193"/>
      <c r="B76" s="214"/>
      <c r="C76" s="214"/>
      <c r="D76" s="215"/>
      <c r="E76" s="193" t="s">
        <v>1610</v>
      </c>
      <c r="F76" s="214"/>
      <c r="G76" s="214"/>
      <c r="H76" s="220"/>
    </row>
    <row r="77" s="181" customFormat="true" ht="17" customHeight="true" spans="1:8">
      <c r="A77" s="193"/>
      <c r="B77" s="214"/>
      <c r="C77" s="214"/>
      <c r="D77" s="215"/>
      <c r="E77" s="193" t="s">
        <v>1611</v>
      </c>
      <c r="F77" s="214">
        <v>700</v>
      </c>
      <c r="G77" s="214">
        <v>800</v>
      </c>
      <c r="H77" s="220">
        <f>(G77/F77-1)</f>
        <v>0.142857142857143</v>
      </c>
    </row>
    <row r="78" s="181" customFormat="true" ht="17" hidden="true" customHeight="true" spans="1:8">
      <c r="A78" s="193"/>
      <c r="B78" s="214"/>
      <c r="C78" s="214"/>
      <c r="D78" s="215"/>
      <c r="E78" s="193" t="s">
        <v>1612</v>
      </c>
      <c r="F78" s="214">
        <f>SUM(F79:F81)</f>
        <v>0</v>
      </c>
      <c r="G78" s="214">
        <f>SUM(G79:G81)</f>
        <v>0</v>
      </c>
      <c r="H78" s="220"/>
    </row>
    <row r="79" s="181" customFormat="true" ht="17" hidden="true" customHeight="true" spans="1:8">
      <c r="A79" s="193"/>
      <c r="B79" s="214"/>
      <c r="C79" s="214"/>
      <c r="D79" s="215"/>
      <c r="E79" s="197" t="s">
        <v>1584</v>
      </c>
      <c r="F79" s="214"/>
      <c r="G79" s="214"/>
      <c r="H79" s="220"/>
    </row>
    <row r="80" s="181" customFormat="true" ht="17" hidden="true" customHeight="true" spans="1:8">
      <c r="A80" s="193"/>
      <c r="B80" s="214"/>
      <c r="C80" s="214"/>
      <c r="D80" s="215"/>
      <c r="E80" s="197" t="s">
        <v>1586</v>
      </c>
      <c r="F80" s="214"/>
      <c r="G80" s="214"/>
      <c r="H80" s="220"/>
    </row>
    <row r="81" s="181" customFormat="true" ht="17" hidden="true" customHeight="true" spans="1:8">
      <c r="A81" s="193"/>
      <c r="B81" s="214"/>
      <c r="C81" s="214"/>
      <c r="D81" s="215"/>
      <c r="E81" s="197" t="s">
        <v>1613</v>
      </c>
      <c r="F81" s="214"/>
      <c r="G81" s="214"/>
      <c r="H81" s="220"/>
    </row>
    <row r="82" s="181" customFormat="true" ht="17" hidden="true" customHeight="true" spans="1:8">
      <c r="A82" s="193"/>
      <c r="B82" s="214"/>
      <c r="C82" s="214"/>
      <c r="D82" s="215"/>
      <c r="E82" s="193" t="s">
        <v>1614</v>
      </c>
      <c r="F82" s="214">
        <f>SUM(F83:F85)</f>
        <v>0</v>
      </c>
      <c r="G82" s="214">
        <f>SUM(G83:G85)</f>
        <v>0</v>
      </c>
      <c r="H82" s="220"/>
    </row>
    <row r="83" s="181" customFormat="true" ht="17" hidden="true" customHeight="true" spans="1:8">
      <c r="A83" s="193"/>
      <c r="B83" s="214"/>
      <c r="C83" s="214"/>
      <c r="D83" s="215"/>
      <c r="E83" s="197" t="s">
        <v>1584</v>
      </c>
      <c r="F83" s="214"/>
      <c r="G83" s="214"/>
      <c r="H83" s="220"/>
    </row>
    <row r="84" s="181" customFormat="true" ht="17" hidden="true" customHeight="true" spans="1:8">
      <c r="A84" s="193"/>
      <c r="B84" s="214"/>
      <c r="C84" s="214"/>
      <c r="D84" s="215"/>
      <c r="E84" s="197" t="s">
        <v>1586</v>
      </c>
      <c r="F84" s="214"/>
      <c r="G84" s="214"/>
      <c r="H84" s="220"/>
    </row>
    <row r="85" s="181" customFormat="true" ht="17" hidden="true" customHeight="true" spans="1:8">
      <c r="A85" s="193"/>
      <c r="B85" s="214"/>
      <c r="C85" s="214"/>
      <c r="D85" s="215"/>
      <c r="E85" s="197" t="s">
        <v>1615</v>
      </c>
      <c r="F85" s="214"/>
      <c r="G85" s="214"/>
      <c r="H85" s="220"/>
    </row>
    <row r="86" s="181" customFormat="true" ht="17" hidden="true" customHeight="true" spans="1:8">
      <c r="A86" s="193"/>
      <c r="B86" s="214"/>
      <c r="C86" s="214"/>
      <c r="D86" s="215"/>
      <c r="E86" s="193" t="s">
        <v>1616</v>
      </c>
      <c r="F86" s="214">
        <f>SUM(F87:F91)</f>
        <v>0</v>
      </c>
      <c r="G86" s="214">
        <f>SUM(G87:G91)</f>
        <v>0</v>
      </c>
      <c r="H86" s="220"/>
    </row>
    <row r="87" s="181" customFormat="true" ht="17" hidden="true" customHeight="true" spans="1:8">
      <c r="A87" s="193"/>
      <c r="B87" s="214"/>
      <c r="C87" s="214"/>
      <c r="D87" s="215"/>
      <c r="E87" s="197" t="s">
        <v>1604</v>
      </c>
      <c r="F87" s="214"/>
      <c r="G87" s="214"/>
      <c r="H87" s="220"/>
    </row>
    <row r="88" s="181" customFormat="true" ht="17" hidden="true" customHeight="true" spans="1:8">
      <c r="A88" s="193"/>
      <c r="B88" s="214"/>
      <c r="C88" s="214"/>
      <c r="D88" s="215"/>
      <c r="E88" s="197" t="s">
        <v>1605</v>
      </c>
      <c r="F88" s="214"/>
      <c r="G88" s="214"/>
      <c r="H88" s="220"/>
    </row>
    <row r="89" s="181" customFormat="true" ht="17" hidden="true" customHeight="true" spans="1:8">
      <c r="A89" s="193"/>
      <c r="B89" s="214"/>
      <c r="C89" s="214"/>
      <c r="D89" s="215"/>
      <c r="E89" s="197" t="s">
        <v>1606</v>
      </c>
      <c r="F89" s="214"/>
      <c r="G89" s="214"/>
      <c r="H89" s="220"/>
    </row>
    <row r="90" s="181" customFormat="true" ht="17" hidden="true" customHeight="true" spans="1:8">
      <c r="A90" s="193"/>
      <c r="B90" s="214"/>
      <c r="C90" s="214"/>
      <c r="D90" s="215"/>
      <c r="E90" s="197" t="s">
        <v>1607</v>
      </c>
      <c r="F90" s="214"/>
      <c r="G90" s="214"/>
      <c r="H90" s="220"/>
    </row>
    <row r="91" s="181" customFormat="true" ht="17" hidden="true" customHeight="true" spans="1:8">
      <c r="A91" s="193"/>
      <c r="B91" s="214"/>
      <c r="C91" s="214"/>
      <c r="D91" s="215"/>
      <c r="E91" s="197" t="s">
        <v>1617</v>
      </c>
      <c r="F91" s="214"/>
      <c r="G91" s="214"/>
      <c r="H91" s="220"/>
    </row>
    <row r="92" s="181" customFormat="true" ht="17" hidden="true" customHeight="true" spans="1:8">
      <c r="A92" s="193"/>
      <c r="B92" s="214"/>
      <c r="C92" s="214"/>
      <c r="D92" s="215"/>
      <c r="E92" s="193" t="s">
        <v>1618</v>
      </c>
      <c r="F92" s="214">
        <f>SUM(F93:F94)</f>
        <v>0</v>
      </c>
      <c r="G92" s="214">
        <f>SUM(G93:G94)</f>
        <v>0</v>
      </c>
      <c r="H92" s="220"/>
    </row>
    <row r="93" s="181" customFormat="true" ht="17" hidden="true" customHeight="true" spans="1:8">
      <c r="A93" s="193"/>
      <c r="B93" s="214"/>
      <c r="C93" s="214"/>
      <c r="D93" s="215"/>
      <c r="E93" s="197" t="s">
        <v>1609</v>
      </c>
      <c r="F93" s="214"/>
      <c r="G93" s="214"/>
      <c r="H93" s="220"/>
    </row>
    <row r="94" s="181" customFormat="true" ht="17" hidden="true" customHeight="true" spans="1:8">
      <c r="A94" s="193"/>
      <c r="B94" s="214"/>
      <c r="C94" s="214"/>
      <c r="D94" s="215"/>
      <c r="E94" s="197" t="s">
        <v>1619</v>
      </c>
      <c r="F94" s="214"/>
      <c r="G94" s="214"/>
      <c r="H94" s="220"/>
    </row>
    <row r="95" s="181" customFormat="true" ht="17" hidden="true" customHeight="true" spans="1:8">
      <c r="A95" s="193"/>
      <c r="B95" s="214"/>
      <c r="C95" s="214"/>
      <c r="D95" s="215"/>
      <c r="E95" s="197" t="s">
        <v>1620</v>
      </c>
      <c r="F95" s="214">
        <f>SUM(F96:F103)</f>
        <v>0</v>
      </c>
      <c r="G95" s="214">
        <f>SUM(G96:G103)</f>
        <v>0</v>
      </c>
      <c r="H95" s="220"/>
    </row>
    <row r="96" s="181" customFormat="true" ht="17" hidden="true" customHeight="true" spans="1:8">
      <c r="A96" s="193"/>
      <c r="B96" s="214"/>
      <c r="C96" s="214"/>
      <c r="D96" s="215"/>
      <c r="E96" s="197" t="s">
        <v>1584</v>
      </c>
      <c r="F96" s="214"/>
      <c r="G96" s="214"/>
      <c r="H96" s="220"/>
    </row>
    <row r="97" s="181" customFormat="true" ht="17" hidden="true" customHeight="true" spans="1:8">
      <c r="A97" s="193"/>
      <c r="B97" s="214"/>
      <c r="C97" s="214"/>
      <c r="D97" s="215"/>
      <c r="E97" s="197" t="s">
        <v>1586</v>
      </c>
      <c r="F97" s="214"/>
      <c r="G97" s="214"/>
      <c r="H97" s="220"/>
    </row>
    <row r="98" s="181" customFormat="true" ht="17" hidden="true" customHeight="true" spans="1:8">
      <c r="A98" s="193"/>
      <c r="B98" s="214"/>
      <c r="C98" s="214"/>
      <c r="D98" s="215"/>
      <c r="E98" s="197" t="s">
        <v>1588</v>
      </c>
      <c r="F98" s="214"/>
      <c r="G98" s="214"/>
      <c r="H98" s="220"/>
    </row>
    <row r="99" s="181" customFormat="true" ht="17" hidden="true" customHeight="true" spans="1:8">
      <c r="A99" s="193"/>
      <c r="B99" s="214"/>
      <c r="C99" s="214"/>
      <c r="D99" s="215"/>
      <c r="E99" s="197" t="s">
        <v>1590</v>
      </c>
      <c r="F99" s="214"/>
      <c r="G99" s="214"/>
      <c r="H99" s="220"/>
    </row>
    <row r="100" s="181" customFormat="true" ht="17" hidden="true" customHeight="true" spans="1:8">
      <c r="A100" s="193"/>
      <c r="B100" s="214"/>
      <c r="C100" s="214"/>
      <c r="D100" s="215"/>
      <c r="E100" s="197" t="s">
        <v>1594</v>
      </c>
      <c r="F100" s="214"/>
      <c r="G100" s="214"/>
      <c r="H100" s="220"/>
    </row>
    <row r="101" s="181" customFormat="true" ht="17" hidden="true" customHeight="true" spans="1:8">
      <c r="A101" s="193"/>
      <c r="B101" s="214"/>
      <c r="C101" s="214"/>
      <c r="D101" s="215"/>
      <c r="E101" s="197" t="s">
        <v>1596</v>
      </c>
      <c r="F101" s="214"/>
      <c r="G101" s="214"/>
      <c r="H101" s="220"/>
    </row>
    <row r="102" s="181" customFormat="true" ht="17" hidden="true" customHeight="true" spans="1:8">
      <c r="A102" s="193"/>
      <c r="B102" s="214"/>
      <c r="C102" s="214"/>
      <c r="D102" s="215"/>
      <c r="E102" s="197" t="s">
        <v>1597</v>
      </c>
      <c r="F102" s="214"/>
      <c r="G102" s="214"/>
      <c r="H102" s="220"/>
    </row>
    <row r="103" s="181" customFormat="true" ht="17" hidden="true" customHeight="true" spans="1:8">
      <c r="A103" s="193"/>
      <c r="B103" s="214"/>
      <c r="C103" s="214"/>
      <c r="D103" s="215"/>
      <c r="E103" s="197" t="s">
        <v>1621</v>
      </c>
      <c r="F103" s="214"/>
      <c r="G103" s="214"/>
      <c r="H103" s="220"/>
    </row>
    <row r="104" s="181" customFormat="true" ht="17" hidden="true" customHeight="true" spans="1:8">
      <c r="A104" s="193"/>
      <c r="B104" s="214"/>
      <c r="C104" s="214"/>
      <c r="D104" s="215"/>
      <c r="E104" s="193" t="s">
        <v>196</v>
      </c>
      <c r="F104" s="214">
        <f>F105+F110+F115</f>
        <v>0</v>
      </c>
      <c r="G104" s="214">
        <f>G105+G110+G115</f>
        <v>0</v>
      </c>
      <c r="H104" s="220"/>
    </row>
    <row r="105" s="181" customFormat="true" ht="17" hidden="true" customHeight="true" spans="1:8">
      <c r="A105" s="193"/>
      <c r="B105" s="214"/>
      <c r="C105" s="214"/>
      <c r="D105" s="215"/>
      <c r="E105" s="196" t="s">
        <v>1622</v>
      </c>
      <c r="F105" s="214">
        <f>SUM(F106:F109)</f>
        <v>0</v>
      </c>
      <c r="G105" s="214">
        <f>SUM(G106:G109)</f>
        <v>0</v>
      </c>
      <c r="H105" s="220"/>
    </row>
    <row r="106" s="181" customFormat="true" ht="17" hidden="true" customHeight="true" spans="1:8">
      <c r="A106" s="193"/>
      <c r="B106" s="214"/>
      <c r="C106" s="214"/>
      <c r="D106" s="215"/>
      <c r="E106" s="196" t="s">
        <v>1546</v>
      </c>
      <c r="F106" s="214"/>
      <c r="G106" s="214"/>
      <c r="H106" s="220"/>
    </row>
    <row r="107" s="181" customFormat="true" ht="17" hidden="true" customHeight="true" spans="1:8">
      <c r="A107" s="193"/>
      <c r="B107" s="214"/>
      <c r="C107" s="214"/>
      <c r="D107" s="215"/>
      <c r="E107" s="196" t="s">
        <v>1623</v>
      </c>
      <c r="F107" s="214"/>
      <c r="G107" s="214"/>
      <c r="H107" s="220"/>
    </row>
    <row r="108" s="181" customFormat="true" ht="17" hidden="true" customHeight="true" spans="1:8">
      <c r="A108" s="193"/>
      <c r="B108" s="214"/>
      <c r="C108" s="214"/>
      <c r="D108" s="215"/>
      <c r="E108" s="196" t="s">
        <v>1624</v>
      </c>
      <c r="F108" s="214"/>
      <c r="G108" s="214"/>
      <c r="H108" s="220"/>
    </row>
    <row r="109" s="181" customFormat="true" ht="17" hidden="true" customHeight="true" spans="1:8">
      <c r="A109" s="193"/>
      <c r="B109" s="214"/>
      <c r="C109" s="214"/>
      <c r="D109" s="215"/>
      <c r="E109" s="196" t="s">
        <v>1625</v>
      </c>
      <c r="F109" s="214"/>
      <c r="G109" s="214"/>
      <c r="H109" s="220"/>
    </row>
    <row r="110" s="181" customFormat="true" ht="17" hidden="true" customHeight="true" spans="1:8">
      <c r="A110" s="193"/>
      <c r="B110" s="214"/>
      <c r="C110" s="214"/>
      <c r="D110" s="215"/>
      <c r="E110" s="196" t="s">
        <v>1626</v>
      </c>
      <c r="F110" s="214">
        <f>SUM(F111:F114)</f>
        <v>0</v>
      </c>
      <c r="G110" s="214">
        <f>SUM(G111:G114)</f>
        <v>0</v>
      </c>
      <c r="H110" s="220"/>
    </row>
    <row r="111" s="181" customFormat="true" ht="17" hidden="true" customHeight="true" spans="1:8">
      <c r="A111" s="193"/>
      <c r="B111" s="214"/>
      <c r="C111" s="214"/>
      <c r="D111" s="215"/>
      <c r="E111" s="196" t="s">
        <v>1546</v>
      </c>
      <c r="F111" s="214"/>
      <c r="G111" s="214"/>
      <c r="H111" s="220"/>
    </row>
    <row r="112" s="181" customFormat="true" ht="17" hidden="true" customHeight="true" spans="1:8">
      <c r="A112" s="193"/>
      <c r="B112" s="214"/>
      <c r="C112" s="214"/>
      <c r="D112" s="215"/>
      <c r="E112" s="196" t="s">
        <v>1623</v>
      </c>
      <c r="F112" s="214"/>
      <c r="G112" s="214"/>
      <c r="H112" s="220"/>
    </row>
    <row r="113" s="181" customFormat="true" ht="17" hidden="true" customHeight="true" spans="1:8">
      <c r="A113" s="193"/>
      <c r="B113" s="214"/>
      <c r="C113" s="214"/>
      <c r="D113" s="215"/>
      <c r="E113" s="196" t="s">
        <v>1627</v>
      </c>
      <c r="F113" s="214"/>
      <c r="G113" s="214"/>
      <c r="H113" s="220"/>
    </row>
    <row r="114" s="181" customFormat="true" ht="17" hidden="true" customHeight="true" spans="1:8">
      <c r="A114" s="193"/>
      <c r="B114" s="214"/>
      <c r="C114" s="214"/>
      <c r="D114" s="215"/>
      <c r="E114" s="196" t="s">
        <v>1628</v>
      </c>
      <c r="F114" s="214"/>
      <c r="G114" s="214"/>
      <c r="H114" s="220"/>
    </row>
    <row r="115" s="181" customFormat="true" ht="17" hidden="true" customHeight="true" spans="1:8">
      <c r="A115" s="193"/>
      <c r="B115" s="214"/>
      <c r="C115" s="214"/>
      <c r="D115" s="215"/>
      <c r="E115" s="196" t="s">
        <v>1629</v>
      </c>
      <c r="F115" s="214">
        <f>SUM(F116:F119)</f>
        <v>0</v>
      </c>
      <c r="G115" s="214">
        <f>SUM(G116:G119)</f>
        <v>0</v>
      </c>
      <c r="H115" s="220"/>
    </row>
    <row r="116" s="181" customFormat="true" ht="17" hidden="true" customHeight="true" spans="1:8">
      <c r="A116" s="193"/>
      <c r="B116" s="214"/>
      <c r="C116" s="214"/>
      <c r="D116" s="215"/>
      <c r="E116" s="196" t="s">
        <v>972</v>
      </c>
      <c r="F116" s="214"/>
      <c r="G116" s="214"/>
      <c r="H116" s="220"/>
    </row>
    <row r="117" s="181" customFormat="true" ht="17" hidden="true" customHeight="true" spans="1:8">
      <c r="A117" s="193"/>
      <c r="B117" s="214"/>
      <c r="C117" s="214"/>
      <c r="D117" s="215"/>
      <c r="E117" s="196" t="s">
        <v>1630</v>
      </c>
      <c r="F117" s="214"/>
      <c r="G117" s="214"/>
      <c r="H117" s="220"/>
    </row>
    <row r="118" s="181" customFormat="true" ht="17" hidden="true" customHeight="true" spans="1:8">
      <c r="A118" s="193"/>
      <c r="B118" s="214"/>
      <c r="C118" s="214"/>
      <c r="D118" s="215"/>
      <c r="E118" s="196" t="s">
        <v>1631</v>
      </c>
      <c r="F118" s="214"/>
      <c r="G118" s="214"/>
      <c r="H118" s="220"/>
    </row>
    <row r="119" s="181" customFormat="true" ht="17" hidden="true" customHeight="true" spans="1:8">
      <c r="A119" s="193"/>
      <c r="B119" s="214"/>
      <c r="C119" s="214"/>
      <c r="D119" s="215"/>
      <c r="E119" s="196" t="s">
        <v>1632</v>
      </c>
      <c r="F119" s="214"/>
      <c r="G119" s="214"/>
      <c r="H119" s="220"/>
    </row>
    <row r="120" s="181" customFormat="true" ht="17" hidden="true" customHeight="true" spans="1:8">
      <c r="A120" s="193"/>
      <c r="B120" s="214"/>
      <c r="C120" s="214"/>
      <c r="D120" s="215"/>
      <c r="E120" s="195" t="s">
        <v>197</v>
      </c>
      <c r="F120" s="214">
        <f>F121+F126+F131+F140+F147+F157+F160+F163</f>
        <v>0</v>
      </c>
      <c r="G120" s="214">
        <f>G121+G126+G131+G140+G147+G157+G160+G163</f>
        <v>0</v>
      </c>
      <c r="H120" s="220"/>
    </row>
    <row r="121" s="181" customFormat="true" ht="17" hidden="true" customHeight="true" spans="1:8">
      <c r="A121" s="193"/>
      <c r="B121" s="214"/>
      <c r="C121" s="214"/>
      <c r="D121" s="215"/>
      <c r="E121" s="196" t="s">
        <v>1633</v>
      </c>
      <c r="F121" s="214">
        <f>SUM(F122:F125)</f>
        <v>0</v>
      </c>
      <c r="G121" s="214">
        <f>SUM(G122:G125)</f>
        <v>0</v>
      </c>
      <c r="H121" s="220"/>
    </row>
    <row r="122" s="181" customFormat="true" ht="17" hidden="true" customHeight="true" spans="1:8">
      <c r="A122" s="193"/>
      <c r="B122" s="214"/>
      <c r="C122" s="214"/>
      <c r="D122" s="215"/>
      <c r="E122" s="196" t="s">
        <v>1004</v>
      </c>
      <c r="F122" s="214"/>
      <c r="G122" s="214"/>
      <c r="H122" s="220"/>
    </row>
    <row r="123" s="181" customFormat="true" ht="17" hidden="true" customHeight="true" spans="1:8">
      <c r="A123" s="193"/>
      <c r="B123" s="214"/>
      <c r="C123" s="214"/>
      <c r="D123" s="215"/>
      <c r="E123" s="196" t="s">
        <v>1005</v>
      </c>
      <c r="F123" s="214"/>
      <c r="G123" s="214"/>
      <c r="H123" s="220"/>
    </row>
    <row r="124" s="181" customFormat="true" ht="17" hidden="true" customHeight="true" spans="1:8">
      <c r="A124" s="193"/>
      <c r="B124" s="214"/>
      <c r="C124" s="214"/>
      <c r="D124" s="215"/>
      <c r="E124" s="196" t="s">
        <v>1634</v>
      </c>
      <c r="F124" s="214"/>
      <c r="G124" s="214"/>
      <c r="H124" s="220"/>
    </row>
    <row r="125" s="181" customFormat="true" ht="17" hidden="true" customHeight="true" spans="1:8">
      <c r="A125" s="193"/>
      <c r="B125" s="214"/>
      <c r="C125" s="214"/>
      <c r="D125" s="215"/>
      <c r="E125" s="196" t="s">
        <v>1635</v>
      </c>
      <c r="F125" s="214"/>
      <c r="G125" s="214"/>
      <c r="H125" s="220"/>
    </row>
    <row r="126" s="181" customFormat="true" ht="17" hidden="true" customHeight="true" spans="1:8">
      <c r="A126" s="193"/>
      <c r="B126" s="214"/>
      <c r="C126" s="214"/>
      <c r="D126" s="215"/>
      <c r="E126" s="196" t="s">
        <v>1636</v>
      </c>
      <c r="F126" s="214">
        <f>SUM(F127:F130)</f>
        <v>0</v>
      </c>
      <c r="G126" s="214">
        <f>SUM(G127:G130)</f>
        <v>0</v>
      </c>
      <c r="H126" s="220"/>
    </row>
    <row r="127" s="181" customFormat="true" ht="17" hidden="true" customHeight="true" spans="1:8">
      <c r="A127" s="193"/>
      <c r="B127" s="214"/>
      <c r="C127" s="214"/>
      <c r="D127" s="215"/>
      <c r="E127" s="196" t="s">
        <v>1634</v>
      </c>
      <c r="F127" s="214"/>
      <c r="G127" s="214"/>
      <c r="H127" s="220"/>
    </row>
    <row r="128" s="181" customFormat="true" ht="17" hidden="true" customHeight="true" spans="1:8">
      <c r="A128" s="193"/>
      <c r="B128" s="214"/>
      <c r="C128" s="214"/>
      <c r="D128" s="215"/>
      <c r="E128" s="196" t="s">
        <v>1637</v>
      </c>
      <c r="F128" s="214"/>
      <c r="G128" s="214"/>
      <c r="H128" s="220"/>
    </row>
    <row r="129" s="181" customFormat="true" ht="17" hidden="true" customHeight="true" spans="1:8">
      <c r="A129" s="193"/>
      <c r="B129" s="214"/>
      <c r="C129" s="214"/>
      <c r="D129" s="215"/>
      <c r="E129" s="196" t="s">
        <v>1638</v>
      </c>
      <c r="F129" s="214"/>
      <c r="G129" s="214"/>
      <c r="H129" s="220"/>
    </row>
    <row r="130" s="181" customFormat="true" ht="17" hidden="true" customHeight="true" spans="1:8">
      <c r="A130" s="193"/>
      <c r="B130" s="214"/>
      <c r="C130" s="214"/>
      <c r="D130" s="215"/>
      <c r="E130" s="196" t="s">
        <v>1639</v>
      </c>
      <c r="F130" s="214"/>
      <c r="G130" s="214"/>
      <c r="H130" s="220"/>
    </row>
    <row r="131" s="181" customFormat="true" ht="17" hidden="true" customHeight="true" spans="1:8">
      <c r="A131" s="193"/>
      <c r="B131" s="214"/>
      <c r="C131" s="214"/>
      <c r="D131" s="215"/>
      <c r="E131" s="196" t="s">
        <v>1640</v>
      </c>
      <c r="F131" s="214">
        <f>SUM(F132:F139)</f>
        <v>0</v>
      </c>
      <c r="G131" s="214">
        <f>SUM(G132:G139)</f>
        <v>0</v>
      </c>
      <c r="H131" s="220"/>
    </row>
    <row r="132" s="181" customFormat="true" ht="17" hidden="true" customHeight="true" spans="1:8">
      <c r="A132" s="193"/>
      <c r="B132" s="214"/>
      <c r="C132" s="214"/>
      <c r="D132" s="215"/>
      <c r="E132" s="196" t="s">
        <v>1641</v>
      </c>
      <c r="F132" s="214"/>
      <c r="G132" s="214"/>
      <c r="H132" s="220"/>
    </row>
    <row r="133" s="181" customFormat="true" ht="17" hidden="true" customHeight="true" spans="1:8">
      <c r="A133" s="193"/>
      <c r="B133" s="214"/>
      <c r="C133" s="214"/>
      <c r="D133" s="215"/>
      <c r="E133" s="196" t="s">
        <v>1642</v>
      </c>
      <c r="F133" s="214"/>
      <c r="G133" s="214"/>
      <c r="H133" s="220"/>
    </row>
    <row r="134" s="181" customFormat="true" ht="17" hidden="true" customHeight="true" spans="1:8">
      <c r="A134" s="193"/>
      <c r="B134" s="214"/>
      <c r="C134" s="214"/>
      <c r="D134" s="215"/>
      <c r="E134" s="196" t="s">
        <v>1643</v>
      </c>
      <c r="F134" s="214"/>
      <c r="G134" s="214"/>
      <c r="H134" s="220"/>
    </row>
    <row r="135" s="181" customFormat="true" ht="17" hidden="true" customHeight="true" spans="1:8">
      <c r="A135" s="193"/>
      <c r="B135" s="214"/>
      <c r="C135" s="214"/>
      <c r="D135" s="215"/>
      <c r="E135" s="196" t="s">
        <v>1644</v>
      </c>
      <c r="F135" s="214"/>
      <c r="G135" s="214"/>
      <c r="H135" s="220"/>
    </row>
    <row r="136" s="181" customFormat="true" ht="17" hidden="true" customHeight="true" spans="1:8">
      <c r="A136" s="193"/>
      <c r="B136" s="214"/>
      <c r="C136" s="214"/>
      <c r="D136" s="215"/>
      <c r="E136" s="196" t="s">
        <v>1645</v>
      </c>
      <c r="F136" s="214"/>
      <c r="G136" s="214"/>
      <c r="H136" s="220"/>
    </row>
    <row r="137" s="181" customFormat="true" ht="17" hidden="true" customHeight="true" spans="1:8">
      <c r="A137" s="193"/>
      <c r="B137" s="214"/>
      <c r="C137" s="214"/>
      <c r="D137" s="215"/>
      <c r="E137" s="196" t="s">
        <v>1646</v>
      </c>
      <c r="F137" s="214"/>
      <c r="G137" s="214"/>
      <c r="H137" s="220"/>
    </row>
    <row r="138" s="181" customFormat="true" ht="17" hidden="true" customHeight="true" spans="1:8">
      <c r="A138" s="193"/>
      <c r="B138" s="214"/>
      <c r="C138" s="214"/>
      <c r="D138" s="215"/>
      <c r="E138" s="196" t="s">
        <v>1647</v>
      </c>
      <c r="F138" s="214"/>
      <c r="G138" s="214"/>
      <c r="H138" s="220"/>
    </row>
    <row r="139" s="181" customFormat="true" ht="17" hidden="true" customHeight="true" spans="1:8">
      <c r="A139" s="193"/>
      <c r="B139" s="214"/>
      <c r="C139" s="214"/>
      <c r="D139" s="215"/>
      <c r="E139" s="196" t="s">
        <v>1648</v>
      </c>
      <c r="F139" s="214"/>
      <c r="G139" s="214"/>
      <c r="H139" s="220"/>
    </row>
    <row r="140" s="181" customFormat="true" ht="17" hidden="true" customHeight="true" spans="1:8">
      <c r="A140" s="193"/>
      <c r="B140" s="214"/>
      <c r="C140" s="214"/>
      <c r="D140" s="215"/>
      <c r="E140" s="196" t="s">
        <v>1649</v>
      </c>
      <c r="F140" s="214">
        <f>SUM(F141:F146)</f>
        <v>0</v>
      </c>
      <c r="G140" s="214">
        <f>SUM(G141:G146)</f>
        <v>0</v>
      </c>
      <c r="H140" s="220"/>
    </row>
    <row r="141" s="181" customFormat="true" ht="17" hidden="true" customHeight="true" spans="1:8">
      <c r="A141" s="193"/>
      <c r="B141" s="214"/>
      <c r="C141" s="214"/>
      <c r="D141" s="215"/>
      <c r="E141" s="196" t="s">
        <v>1650</v>
      </c>
      <c r="F141" s="214"/>
      <c r="G141" s="214"/>
      <c r="H141" s="220"/>
    </row>
    <row r="142" s="181" customFormat="true" ht="17" hidden="true" customHeight="true" spans="1:8">
      <c r="A142" s="193"/>
      <c r="B142" s="214"/>
      <c r="C142" s="214"/>
      <c r="D142" s="215"/>
      <c r="E142" s="196" t="s">
        <v>1651</v>
      </c>
      <c r="F142" s="214"/>
      <c r="G142" s="214"/>
      <c r="H142" s="220"/>
    </row>
    <row r="143" s="181" customFormat="true" ht="17" hidden="true" customHeight="true" spans="1:8">
      <c r="A143" s="193"/>
      <c r="B143" s="214"/>
      <c r="C143" s="214"/>
      <c r="D143" s="215"/>
      <c r="E143" s="196" t="s">
        <v>1652</v>
      </c>
      <c r="F143" s="214"/>
      <c r="G143" s="214"/>
      <c r="H143" s="220"/>
    </row>
    <row r="144" s="181" customFormat="true" ht="17" hidden="true" customHeight="true" spans="1:8">
      <c r="A144" s="193"/>
      <c r="B144" s="214"/>
      <c r="C144" s="214"/>
      <c r="D144" s="215"/>
      <c r="E144" s="196" t="s">
        <v>1653</v>
      </c>
      <c r="F144" s="214"/>
      <c r="G144" s="214"/>
      <c r="H144" s="220"/>
    </row>
    <row r="145" s="181" customFormat="true" ht="17" hidden="true" customHeight="true" spans="1:8">
      <c r="A145" s="193"/>
      <c r="B145" s="214"/>
      <c r="C145" s="214"/>
      <c r="D145" s="215"/>
      <c r="E145" s="196" t="s">
        <v>1654</v>
      </c>
      <c r="F145" s="214"/>
      <c r="G145" s="214"/>
      <c r="H145" s="220"/>
    </row>
    <row r="146" s="181" customFormat="true" ht="17" hidden="true" customHeight="true" spans="1:8">
      <c r="A146" s="193"/>
      <c r="B146" s="214"/>
      <c r="C146" s="214"/>
      <c r="D146" s="215"/>
      <c r="E146" s="196" t="s">
        <v>1655</v>
      </c>
      <c r="F146" s="214"/>
      <c r="G146" s="214"/>
      <c r="H146" s="220"/>
    </row>
    <row r="147" s="181" customFormat="true" ht="17" hidden="true" customHeight="true" spans="1:8">
      <c r="A147" s="193"/>
      <c r="B147" s="214"/>
      <c r="C147" s="214"/>
      <c r="D147" s="215"/>
      <c r="E147" s="196" t="s">
        <v>1656</v>
      </c>
      <c r="F147" s="214">
        <f>SUM(F148:F156)</f>
        <v>0</v>
      </c>
      <c r="G147" s="214">
        <f>SUM(G148:G156)</f>
        <v>0</v>
      </c>
      <c r="H147" s="220"/>
    </row>
    <row r="148" s="181" customFormat="true" ht="17" hidden="true" customHeight="true" spans="1:8">
      <c r="A148" s="193"/>
      <c r="B148" s="214"/>
      <c r="C148" s="214"/>
      <c r="D148" s="215"/>
      <c r="E148" s="196" t="s">
        <v>1657</v>
      </c>
      <c r="F148" s="214"/>
      <c r="G148" s="214"/>
      <c r="H148" s="220"/>
    </row>
    <row r="149" s="181" customFormat="true" ht="17" hidden="true" customHeight="true" spans="1:8">
      <c r="A149" s="193"/>
      <c r="B149" s="214"/>
      <c r="C149" s="214"/>
      <c r="D149" s="215"/>
      <c r="E149" s="196" t="s">
        <v>1032</v>
      </c>
      <c r="F149" s="214"/>
      <c r="G149" s="214"/>
      <c r="H149" s="220"/>
    </row>
    <row r="150" s="181" customFormat="true" ht="17" hidden="true" customHeight="true" spans="1:8">
      <c r="A150" s="193"/>
      <c r="B150" s="214"/>
      <c r="C150" s="214"/>
      <c r="D150" s="215"/>
      <c r="E150" s="196" t="s">
        <v>1658</v>
      </c>
      <c r="F150" s="214"/>
      <c r="G150" s="214"/>
      <c r="H150" s="220"/>
    </row>
    <row r="151" s="181" customFormat="true" ht="17" hidden="true" customHeight="true" spans="1:8">
      <c r="A151" s="193"/>
      <c r="B151" s="214"/>
      <c r="C151" s="214"/>
      <c r="D151" s="215"/>
      <c r="E151" s="196" t="s">
        <v>1659</v>
      </c>
      <c r="F151" s="214"/>
      <c r="G151" s="214"/>
      <c r="H151" s="220"/>
    </row>
    <row r="152" s="181" customFormat="true" ht="17" hidden="true" customHeight="true" spans="1:8">
      <c r="A152" s="193"/>
      <c r="B152" s="214"/>
      <c r="C152" s="214"/>
      <c r="D152" s="215"/>
      <c r="E152" s="196" t="s">
        <v>1660</v>
      </c>
      <c r="F152" s="214"/>
      <c r="G152" s="214"/>
      <c r="H152" s="220"/>
    </row>
    <row r="153" s="181" customFormat="true" ht="17" hidden="true" customHeight="true" spans="1:8">
      <c r="A153" s="193"/>
      <c r="B153" s="214"/>
      <c r="C153" s="214"/>
      <c r="D153" s="215"/>
      <c r="E153" s="196" t="s">
        <v>1661</v>
      </c>
      <c r="F153" s="214"/>
      <c r="G153" s="214"/>
      <c r="H153" s="220"/>
    </row>
    <row r="154" s="181" customFormat="true" ht="17" hidden="true" customHeight="true" spans="1:8">
      <c r="A154" s="193"/>
      <c r="B154" s="214"/>
      <c r="C154" s="214"/>
      <c r="D154" s="215"/>
      <c r="E154" s="196" t="s">
        <v>1662</v>
      </c>
      <c r="F154" s="214"/>
      <c r="G154" s="214"/>
      <c r="H154" s="220"/>
    </row>
    <row r="155" s="181" customFormat="true" ht="17" hidden="true" customHeight="true" spans="1:8">
      <c r="A155" s="193"/>
      <c r="B155" s="214"/>
      <c r="C155" s="214"/>
      <c r="D155" s="215"/>
      <c r="E155" s="196" t="s">
        <v>1663</v>
      </c>
      <c r="F155" s="214"/>
      <c r="G155" s="214"/>
      <c r="H155" s="220"/>
    </row>
    <row r="156" s="181" customFormat="true" ht="17" hidden="true" customHeight="true" spans="1:8">
      <c r="A156" s="193"/>
      <c r="B156" s="214"/>
      <c r="C156" s="214"/>
      <c r="D156" s="215"/>
      <c r="E156" s="196" t="s">
        <v>1664</v>
      </c>
      <c r="F156" s="214"/>
      <c r="G156" s="214"/>
      <c r="H156" s="220"/>
    </row>
    <row r="157" s="181" customFormat="true" ht="17" hidden="true" customHeight="true" spans="1:8">
      <c r="A157" s="193"/>
      <c r="B157" s="214"/>
      <c r="C157" s="214"/>
      <c r="D157" s="215"/>
      <c r="E157" s="196" t="s">
        <v>1665</v>
      </c>
      <c r="F157" s="214">
        <f>SUM(F158:F159)</f>
        <v>0</v>
      </c>
      <c r="G157" s="214">
        <f>SUM(G158:G159)</f>
        <v>0</v>
      </c>
      <c r="H157" s="220"/>
    </row>
    <row r="158" s="181" customFormat="true" ht="17" hidden="true" customHeight="true" spans="1:8">
      <c r="A158" s="193"/>
      <c r="B158" s="214"/>
      <c r="C158" s="214"/>
      <c r="D158" s="215"/>
      <c r="E158" s="197" t="s">
        <v>1004</v>
      </c>
      <c r="F158" s="214"/>
      <c r="G158" s="214"/>
      <c r="H158" s="220"/>
    </row>
    <row r="159" s="181" customFormat="true" ht="17" hidden="true" customHeight="true" spans="1:8">
      <c r="A159" s="193"/>
      <c r="B159" s="214"/>
      <c r="C159" s="214"/>
      <c r="D159" s="215"/>
      <c r="E159" s="197" t="s">
        <v>1666</v>
      </c>
      <c r="F159" s="214"/>
      <c r="G159" s="214"/>
      <c r="H159" s="220"/>
    </row>
    <row r="160" s="181" customFormat="true" ht="17" hidden="true" customHeight="true" spans="1:8">
      <c r="A160" s="193"/>
      <c r="B160" s="214"/>
      <c r="C160" s="214"/>
      <c r="D160" s="215"/>
      <c r="E160" s="196" t="s">
        <v>1667</v>
      </c>
      <c r="F160" s="214">
        <f>SUM(F161:F162)</f>
        <v>0</v>
      </c>
      <c r="G160" s="214">
        <f>SUM(G161:G162)</f>
        <v>0</v>
      </c>
      <c r="H160" s="220"/>
    </row>
    <row r="161" s="181" customFormat="true" ht="17" hidden="true" customHeight="true" spans="1:8">
      <c r="A161" s="193"/>
      <c r="B161" s="214"/>
      <c r="C161" s="214"/>
      <c r="D161" s="215"/>
      <c r="E161" s="197" t="s">
        <v>1004</v>
      </c>
      <c r="F161" s="214"/>
      <c r="G161" s="214"/>
      <c r="H161" s="220"/>
    </row>
    <row r="162" s="181" customFormat="true" ht="17" hidden="true" customHeight="true" spans="1:8">
      <c r="A162" s="193"/>
      <c r="B162" s="214"/>
      <c r="C162" s="214"/>
      <c r="D162" s="215"/>
      <c r="E162" s="197" t="s">
        <v>1668</v>
      </c>
      <c r="F162" s="214"/>
      <c r="G162" s="214"/>
      <c r="H162" s="220"/>
    </row>
    <row r="163" s="181" customFormat="true" ht="17" hidden="true" customHeight="true" spans="1:8">
      <c r="A163" s="193"/>
      <c r="B163" s="214"/>
      <c r="C163" s="214"/>
      <c r="D163" s="215"/>
      <c r="E163" s="196" t="s">
        <v>1669</v>
      </c>
      <c r="F163" s="214"/>
      <c r="G163" s="214"/>
      <c r="H163" s="220"/>
    </row>
    <row r="164" s="181" customFormat="true" ht="17" hidden="true" customHeight="true" spans="1:8">
      <c r="A164" s="193"/>
      <c r="B164" s="214"/>
      <c r="C164" s="214"/>
      <c r="D164" s="215"/>
      <c r="E164" s="195" t="s">
        <v>198</v>
      </c>
      <c r="F164" s="214">
        <f>F165</f>
        <v>0</v>
      </c>
      <c r="G164" s="214">
        <f>G165</f>
        <v>0</v>
      </c>
      <c r="H164" s="220"/>
    </row>
    <row r="165" s="181" customFormat="true" ht="17" hidden="true" customHeight="true" spans="1:8">
      <c r="A165" s="193"/>
      <c r="B165" s="214"/>
      <c r="C165" s="214"/>
      <c r="D165" s="215"/>
      <c r="E165" s="196" t="s">
        <v>1670</v>
      </c>
      <c r="F165" s="214">
        <f>SUM(F166:F167)</f>
        <v>0</v>
      </c>
      <c r="G165" s="214">
        <f>SUM(G166:G167)</f>
        <v>0</v>
      </c>
      <c r="H165" s="220"/>
    </row>
    <row r="166" s="181" customFormat="true" ht="17" hidden="true" customHeight="true" spans="1:8">
      <c r="A166" s="193"/>
      <c r="B166" s="214"/>
      <c r="C166" s="214"/>
      <c r="D166" s="215"/>
      <c r="E166" s="196" t="s">
        <v>1671</v>
      </c>
      <c r="F166" s="214"/>
      <c r="G166" s="214"/>
      <c r="H166" s="220"/>
    </row>
    <row r="167" s="181" customFormat="true" ht="17" hidden="true" customHeight="true" spans="1:8">
      <c r="A167" s="193"/>
      <c r="B167" s="214"/>
      <c r="C167" s="214"/>
      <c r="D167" s="215"/>
      <c r="E167" s="196" t="s">
        <v>1672</v>
      </c>
      <c r="F167" s="214"/>
      <c r="G167" s="214"/>
      <c r="H167" s="220"/>
    </row>
    <row r="168" s="181" customFormat="true" ht="17" customHeight="true" spans="1:8">
      <c r="A168" s="193"/>
      <c r="B168" s="214"/>
      <c r="C168" s="214"/>
      <c r="D168" s="215"/>
      <c r="E168" s="195" t="s">
        <v>199</v>
      </c>
      <c r="F168" s="214">
        <f>F169+F173+F182+F183</f>
        <v>0</v>
      </c>
      <c r="G168" s="214">
        <f>G169+G173+G182+G183</f>
        <v>4624</v>
      </c>
      <c r="H168" s="220">
        <v>0</v>
      </c>
    </row>
    <row r="169" s="181" customFormat="true" ht="17" hidden="true" customHeight="true" spans="1:8">
      <c r="A169" s="193"/>
      <c r="B169" s="214"/>
      <c r="C169" s="214"/>
      <c r="D169" s="215"/>
      <c r="E169" s="196" t="s">
        <v>1673</v>
      </c>
      <c r="F169" s="214">
        <f>SUM(F170:F172)</f>
        <v>0</v>
      </c>
      <c r="G169" s="214">
        <f>SUM(G170:G172)</f>
        <v>0</v>
      </c>
      <c r="H169" s="220"/>
    </row>
    <row r="170" s="181" customFormat="true" ht="17" hidden="true" customHeight="true" spans="1:8">
      <c r="A170" s="193"/>
      <c r="B170" s="214"/>
      <c r="C170" s="214"/>
      <c r="D170" s="215"/>
      <c r="E170" s="196" t="s">
        <v>1674</v>
      </c>
      <c r="F170" s="214"/>
      <c r="G170" s="214"/>
      <c r="H170" s="220"/>
    </row>
    <row r="171" s="181" customFormat="true" ht="17" hidden="true" customHeight="true" spans="1:8">
      <c r="A171" s="193"/>
      <c r="B171" s="214"/>
      <c r="C171" s="214"/>
      <c r="D171" s="215"/>
      <c r="E171" s="196" t="s">
        <v>1675</v>
      </c>
      <c r="F171" s="214"/>
      <c r="G171" s="214"/>
      <c r="H171" s="220"/>
    </row>
    <row r="172" s="181" customFormat="true" ht="17" hidden="true" customHeight="true" spans="1:8">
      <c r="A172" s="193"/>
      <c r="B172" s="214"/>
      <c r="C172" s="214"/>
      <c r="D172" s="215"/>
      <c r="E172" s="196" t="s">
        <v>1676</v>
      </c>
      <c r="F172" s="214"/>
      <c r="G172" s="214"/>
      <c r="H172" s="220"/>
    </row>
    <row r="173" s="181" customFormat="true" ht="17" hidden="true" customHeight="true" spans="1:8">
      <c r="A173" s="193"/>
      <c r="B173" s="214"/>
      <c r="C173" s="214"/>
      <c r="D173" s="215"/>
      <c r="E173" s="196" t="s">
        <v>1677</v>
      </c>
      <c r="F173" s="214">
        <f>SUM(F174:F181)</f>
        <v>0</v>
      </c>
      <c r="G173" s="214">
        <f>SUM(G174:G181)</f>
        <v>0</v>
      </c>
      <c r="H173" s="220"/>
    </row>
    <row r="174" s="181" customFormat="true" ht="17" hidden="true" customHeight="true" spans="1:8">
      <c r="A174" s="193"/>
      <c r="B174" s="214"/>
      <c r="C174" s="214"/>
      <c r="D174" s="215"/>
      <c r="E174" s="196" t="s">
        <v>1678</v>
      </c>
      <c r="F174" s="214"/>
      <c r="G174" s="214"/>
      <c r="H174" s="220"/>
    </row>
    <row r="175" s="181" customFormat="true" ht="17" hidden="true" customHeight="true" spans="1:8">
      <c r="A175" s="193"/>
      <c r="B175" s="214"/>
      <c r="C175" s="214"/>
      <c r="D175" s="215"/>
      <c r="E175" s="196" t="s">
        <v>1679</v>
      </c>
      <c r="F175" s="214"/>
      <c r="G175" s="214"/>
      <c r="H175" s="220"/>
    </row>
    <row r="176" s="181" customFormat="true" ht="17" hidden="true" customHeight="true" spans="1:8">
      <c r="A176" s="193"/>
      <c r="B176" s="214"/>
      <c r="C176" s="214"/>
      <c r="D176" s="215"/>
      <c r="E176" s="196" t="s">
        <v>1680</v>
      </c>
      <c r="F176" s="214"/>
      <c r="G176" s="214"/>
      <c r="H176" s="220"/>
    </row>
    <row r="177" s="181" customFormat="true" ht="17" hidden="true" customHeight="true" spans="1:8">
      <c r="A177" s="193"/>
      <c r="B177" s="214"/>
      <c r="C177" s="214"/>
      <c r="D177" s="215"/>
      <c r="E177" s="196" t="s">
        <v>1681</v>
      </c>
      <c r="F177" s="214"/>
      <c r="G177" s="214"/>
      <c r="H177" s="220"/>
    </row>
    <row r="178" s="181" customFormat="true" ht="17" hidden="true" customHeight="true" spans="1:8">
      <c r="A178" s="193"/>
      <c r="B178" s="214"/>
      <c r="C178" s="214"/>
      <c r="D178" s="215"/>
      <c r="E178" s="196" t="s">
        <v>1682</v>
      </c>
      <c r="F178" s="214"/>
      <c r="G178" s="214"/>
      <c r="H178" s="220"/>
    </row>
    <row r="179" s="181" customFormat="true" ht="17" hidden="true" customHeight="true" spans="1:8">
      <c r="A179" s="193"/>
      <c r="B179" s="214"/>
      <c r="C179" s="214"/>
      <c r="D179" s="215"/>
      <c r="E179" s="196" t="s">
        <v>1683</v>
      </c>
      <c r="F179" s="214"/>
      <c r="G179" s="214"/>
      <c r="H179" s="220"/>
    </row>
    <row r="180" s="181" customFormat="true" ht="17" hidden="true" customHeight="true" spans="1:8">
      <c r="A180" s="193"/>
      <c r="B180" s="214"/>
      <c r="C180" s="214"/>
      <c r="D180" s="215"/>
      <c r="E180" s="196" t="s">
        <v>1684</v>
      </c>
      <c r="F180" s="214"/>
      <c r="G180" s="214"/>
      <c r="H180" s="220"/>
    </row>
    <row r="181" s="181" customFormat="true" ht="17" hidden="true" customHeight="true" spans="1:8">
      <c r="A181" s="193"/>
      <c r="B181" s="214"/>
      <c r="C181" s="214"/>
      <c r="D181" s="215"/>
      <c r="E181" s="196" t="s">
        <v>1685</v>
      </c>
      <c r="F181" s="214"/>
      <c r="G181" s="214"/>
      <c r="H181" s="220"/>
    </row>
    <row r="182" s="181" customFormat="true" ht="17" hidden="true" customHeight="true" spans="1:8">
      <c r="A182" s="193"/>
      <c r="B182" s="214"/>
      <c r="C182" s="214"/>
      <c r="D182" s="215"/>
      <c r="E182" s="222" t="s">
        <v>1686</v>
      </c>
      <c r="F182" s="214"/>
      <c r="G182" s="214"/>
      <c r="H182" s="220"/>
    </row>
    <row r="183" s="181" customFormat="true" ht="17" customHeight="true" spans="1:8">
      <c r="A183" s="193"/>
      <c r="B183" s="214"/>
      <c r="C183" s="214"/>
      <c r="D183" s="215"/>
      <c r="E183" s="196" t="s">
        <v>1687</v>
      </c>
      <c r="F183" s="214">
        <f>SUM(F184:F193)</f>
        <v>0</v>
      </c>
      <c r="G183" s="214">
        <f>SUM(G184:G193)</f>
        <v>4624</v>
      </c>
      <c r="H183" s="220">
        <v>0</v>
      </c>
    </row>
    <row r="184" s="181" customFormat="true" ht="17" customHeight="true" spans="1:8">
      <c r="A184" s="193"/>
      <c r="B184" s="214"/>
      <c r="C184" s="214"/>
      <c r="D184" s="215"/>
      <c r="E184" s="196" t="s">
        <v>1688</v>
      </c>
      <c r="F184" s="214"/>
      <c r="G184" s="214">
        <f>3322+74</f>
        <v>3396</v>
      </c>
      <c r="H184" s="220">
        <v>0</v>
      </c>
    </row>
    <row r="185" s="181" customFormat="true" ht="17" customHeight="true" spans="1:8">
      <c r="A185" s="193"/>
      <c r="B185" s="214"/>
      <c r="C185" s="214"/>
      <c r="D185" s="215"/>
      <c r="E185" s="196" t="s">
        <v>1689</v>
      </c>
      <c r="F185" s="214"/>
      <c r="G185" s="214">
        <f>156+13+238</f>
        <v>407</v>
      </c>
      <c r="H185" s="220">
        <v>0</v>
      </c>
    </row>
    <row r="186" s="181" customFormat="true" ht="17" customHeight="true" spans="1:8">
      <c r="A186" s="193"/>
      <c r="B186" s="214"/>
      <c r="C186" s="214"/>
      <c r="D186" s="215"/>
      <c r="E186" s="196" t="s">
        <v>1690</v>
      </c>
      <c r="F186" s="214"/>
      <c r="G186" s="214"/>
      <c r="H186" s="220"/>
    </row>
    <row r="187" s="181" customFormat="true" ht="17" customHeight="true" spans="1:8">
      <c r="A187" s="193"/>
      <c r="B187" s="214"/>
      <c r="C187" s="214"/>
      <c r="D187" s="215"/>
      <c r="E187" s="196" t="s">
        <v>1691</v>
      </c>
      <c r="F187" s="214"/>
      <c r="G187" s="214"/>
      <c r="H187" s="220"/>
    </row>
    <row r="188" s="181" customFormat="true" ht="17" customHeight="true" spans="1:8">
      <c r="A188" s="193"/>
      <c r="B188" s="214"/>
      <c r="C188" s="214"/>
      <c r="D188" s="215"/>
      <c r="E188" s="196" t="s">
        <v>1692</v>
      </c>
      <c r="F188" s="214"/>
      <c r="G188" s="214">
        <f>1+20</f>
        <v>21</v>
      </c>
      <c r="H188" s="220">
        <v>0</v>
      </c>
    </row>
    <row r="189" s="181" customFormat="true" ht="17" customHeight="true" spans="1:8">
      <c r="A189" s="193"/>
      <c r="B189" s="214"/>
      <c r="C189" s="214"/>
      <c r="D189" s="215"/>
      <c r="E189" s="196" t="s">
        <v>1693</v>
      </c>
      <c r="F189" s="214"/>
      <c r="G189" s="214"/>
      <c r="H189" s="220"/>
    </row>
    <row r="190" s="181" customFormat="true" ht="17" customHeight="true" spans="1:8">
      <c r="A190" s="193"/>
      <c r="B190" s="214"/>
      <c r="C190" s="214"/>
      <c r="D190" s="215"/>
      <c r="E190" s="221" t="s">
        <v>1694</v>
      </c>
      <c r="F190" s="214"/>
      <c r="G190" s="214"/>
      <c r="H190" s="220"/>
    </row>
    <row r="191" s="181" customFormat="true" ht="17" customHeight="true" spans="1:8">
      <c r="A191" s="193"/>
      <c r="B191" s="214"/>
      <c r="C191" s="214"/>
      <c r="D191" s="215"/>
      <c r="E191" s="196" t="s">
        <v>1695</v>
      </c>
      <c r="F191" s="214"/>
      <c r="G191" s="214"/>
      <c r="H191" s="220"/>
    </row>
    <row r="192" s="181" customFormat="true" ht="17" customHeight="true" spans="1:8">
      <c r="A192" s="193"/>
      <c r="B192" s="214"/>
      <c r="C192" s="214"/>
      <c r="D192" s="215"/>
      <c r="E192" s="196" t="s">
        <v>1696</v>
      </c>
      <c r="F192" s="214"/>
      <c r="G192" s="214"/>
      <c r="H192" s="220"/>
    </row>
    <row r="193" s="181" customFormat="true" ht="17" customHeight="true" spans="1:8">
      <c r="A193" s="193"/>
      <c r="B193" s="214"/>
      <c r="C193" s="214"/>
      <c r="D193" s="215"/>
      <c r="E193" s="196" t="s">
        <v>1697</v>
      </c>
      <c r="F193" s="214"/>
      <c r="G193" s="214">
        <v>800</v>
      </c>
      <c r="H193" s="220"/>
    </row>
    <row r="194" s="181" customFormat="true" ht="17" customHeight="true" spans="1:8">
      <c r="A194" s="193"/>
      <c r="B194" s="214"/>
      <c r="C194" s="214"/>
      <c r="D194" s="215"/>
      <c r="E194" s="195" t="s">
        <v>200</v>
      </c>
      <c r="F194" s="214">
        <f>SUM(F195:F209)</f>
        <v>11864</v>
      </c>
      <c r="G194" s="214">
        <f>SUM(G195:G209)</f>
        <v>66437</v>
      </c>
      <c r="H194" s="220">
        <f>(G194/F194-1)</f>
        <v>4.59988199595415</v>
      </c>
    </row>
    <row r="195" s="181" customFormat="true" ht="17" customHeight="true" spans="1:8">
      <c r="A195" s="193"/>
      <c r="B195" s="214"/>
      <c r="C195" s="214"/>
      <c r="D195" s="215"/>
      <c r="E195" s="195" t="s">
        <v>1698</v>
      </c>
      <c r="F195" s="214"/>
      <c r="G195" s="214"/>
      <c r="H195" s="220"/>
    </row>
    <row r="196" s="181" customFormat="true" ht="17" customHeight="true" spans="1:8">
      <c r="A196" s="193"/>
      <c r="B196" s="214"/>
      <c r="C196" s="214"/>
      <c r="D196" s="215"/>
      <c r="E196" s="195" t="s">
        <v>1699</v>
      </c>
      <c r="F196" s="214"/>
      <c r="G196" s="214"/>
      <c r="H196" s="220"/>
    </row>
    <row r="197" s="181" customFormat="true" ht="17" customHeight="true" spans="1:8">
      <c r="A197" s="193"/>
      <c r="B197" s="214"/>
      <c r="C197" s="214"/>
      <c r="D197" s="215"/>
      <c r="E197" s="195" t="s">
        <v>1700</v>
      </c>
      <c r="F197" s="214"/>
      <c r="G197" s="214"/>
      <c r="H197" s="220">
        <v>0</v>
      </c>
    </row>
    <row r="198" s="181" customFormat="true" ht="17" hidden="true" customHeight="true" spans="1:8">
      <c r="A198" s="193"/>
      <c r="B198" s="214"/>
      <c r="C198" s="214"/>
      <c r="D198" s="215"/>
      <c r="E198" s="195" t="s">
        <v>1701</v>
      </c>
      <c r="F198" s="214"/>
      <c r="G198" s="214"/>
      <c r="H198" s="220"/>
    </row>
    <row r="199" s="181" customFormat="true" ht="17" hidden="true" customHeight="true" spans="1:8">
      <c r="A199" s="193"/>
      <c r="B199" s="214"/>
      <c r="C199" s="214"/>
      <c r="D199" s="215"/>
      <c r="E199" s="195" t="s">
        <v>1702</v>
      </c>
      <c r="F199" s="214"/>
      <c r="G199" s="214"/>
      <c r="H199" s="220"/>
    </row>
    <row r="200" s="181" customFormat="true" ht="17" hidden="true" customHeight="true" spans="1:8">
      <c r="A200" s="193"/>
      <c r="B200" s="214"/>
      <c r="C200" s="214"/>
      <c r="D200" s="215"/>
      <c r="E200" s="195" t="s">
        <v>1703</v>
      </c>
      <c r="F200" s="214"/>
      <c r="G200" s="214"/>
      <c r="H200" s="220"/>
    </row>
    <row r="201" s="181" customFormat="true" ht="17" hidden="true" customHeight="true" spans="1:8">
      <c r="A201" s="193"/>
      <c r="B201" s="214"/>
      <c r="C201" s="214"/>
      <c r="D201" s="215"/>
      <c r="E201" s="195" t="s">
        <v>1704</v>
      </c>
      <c r="F201" s="214"/>
      <c r="G201" s="214"/>
      <c r="H201" s="220"/>
    </row>
    <row r="202" s="181" customFormat="true" ht="17" hidden="true" customHeight="true" spans="1:8">
      <c r="A202" s="193"/>
      <c r="B202" s="214"/>
      <c r="C202" s="214"/>
      <c r="D202" s="215"/>
      <c r="E202" s="195" t="s">
        <v>1705</v>
      </c>
      <c r="F202" s="214"/>
      <c r="G202" s="214"/>
      <c r="H202" s="220"/>
    </row>
    <row r="203" s="181" customFormat="true" ht="17" hidden="true" customHeight="true" spans="1:8">
      <c r="A203" s="193"/>
      <c r="B203" s="214"/>
      <c r="C203" s="214"/>
      <c r="D203" s="215"/>
      <c r="E203" s="195" t="s">
        <v>1706</v>
      </c>
      <c r="F203" s="214"/>
      <c r="G203" s="214"/>
      <c r="H203" s="220"/>
    </row>
    <row r="204" s="181" customFormat="true" ht="17" hidden="true" customHeight="true" spans="1:8">
      <c r="A204" s="193"/>
      <c r="B204" s="214"/>
      <c r="C204" s="214"/>
      <c r="D204" s="215"/>
      <c r="E204" s="195" t="s">
        <v>1707</v>
      </c>
      <c r="F204" s="214"/>
      <c r="G204" s="214"/>
      <c r="H204" s="220"/>
    </row>
    <row r="205" s="181" customFormat="true" ht="17" customHeight="true" spans="1:8">
      <c r="A205" s="193"/>
      <c r="B205" s="214"/>
      <c r="C205" s="214"/>
      <c r="D205" s="215"/>
      <c r="E205" s="195" t="s">
        <v>1708</v>
      </c>
      <c r="F205" s="214"/>
      <c r="G205" s="214"/>
      <c r="H205" s="220">
        <v>0</v>
      </c>
    </row>
    <row r="206" s="181" customFormat="true" ht="17" customHeight="true" spans="1:8">
      <c r="A206" s="193"/>
      <c r="B206" s="214"/>
      <c r="C206" s="214"/>
      <c r="D206" s="215"/>
      <c r="E206" s="195" t="s">
        <v>1709</v>
      </c>
      <c r="F206" s="214"/>
      <c r="G206" s="214"/>
      <c r="H206" s="220"/>
    </row>
    <row r="207" s="181" customFormat="true" ht="17" customHeight="true" spans="1:8">
      <c r="A207" s="193"/>
      <c r="B207" s="214"/>
      <c r="C207" s="214"/>
      <c r="D207" s="215"/>
      <c r="E207" s="195" t="s">
        <v>1710</v>
      </c>
      <c r="F207" s="214"/>
      <c r="G207" s="214"/>
      <c r="H207" s="220">
        <v>0</v>
      </c>
    </row>
    <row r="208" s="181" customFormat="true" ht="17" customHeight="true" spans="1:8">
      <c r="A208" s="193"/>
      <c r="B208" s="214"/>
      <c r="C208" s="214"/>
      <c r="D208" s="215"/>
      <c r="E208" s="195" t="s">
        <v>1711</v>
      </c>
      <c r="F208" s="214"/>
      <c r="G208" s="214"/>
      <c r="H208" s="220">
        <v>0</v>
      </c>
    </row>
    <row r="209" s="181" customFormat="true" ht="17" customHeight="true" spans="1:8">
      <c r="A209" s="193"/>
      <c r="B209" s="214"/>
      <c r="C209" s="214"/>
      <c r="D209" s="215"/>
      <c r="E209" s="195" t="s">
        <v>1712</v>
      </c>
      <c r="F209" s="214">
        <v>11864</v>
      </c>
      <c r="G209" s="214">
        <v>66437</v>
      </c>
      <c r="H209" s="220">
        <f>(G209/F209-1)</f>
        <v>4.59988199595415</v>
      </c>
    </row>
    <row r="210" s="181" customFormat="true" ht="17" hidden="true" customHeight="true" spans="1:8">
      <c r="A210" s="193"/>
      <c r="B210" s="214"/>
      <c r="C210" s="214"/>
      <c r="D210" s="215"/>
      <c r="E210" s="195" t="s">
        <v>1713</v>
      </c>
      <c r="F210" s="214">
        <f>SUM(F211:F225)</f>
        <v>0</v>
      </c>
      <c r="G210" s="214">
        <f>SUM(G211:G225)</f>
        <v>0</v>
      </c>
      <c r="H210" s="220"/>
    </row>
    <row r="211" s="181" customFormat="true" ht="17" hidden="true" customHeight="true" spans="1:8">
      <c r="A211" s="193"/>
      <c r="B211" s="214"/>
      <c r="C211" s="214"/>
      <c r="D211" s="215"/>
      <c r="E211" s="195" t="s">
        <v>1714</v>
      </c>
      <c r="F211" s="214"/>
      <c r="G211" s="214"/>
      <c r="H211" s="220"/>
    </row>
    <row r="212" s="181" customFormat="true" ht="17" hidden="true" customHeight="true" spans="1:8">
      <c r="A212" s="193"/>
      <c r="B212" s="214"/>
      <c r="C212" s="214"/>
      <c r="D212" s="215"/>
      <c r="E212" s="195" t="s">
        <v>1715</v>
      </c>
      <c r="F212" s="214"/>
      <c r="G212" s="214"/>
      <c r="H212" s="220"/>
    </row>
    <row r="213" s="181" customFormat="true" ht="17" hidden="true" customHeight="true" spans="1:8">
      <c r="A213" s="193"/>
      <c r="B213" s="214"/>
      <c r="C213" s="214"/>
      <c r="D213" s="215"/>
      <c r="E213" s="195" t="s">
        <v>1716</v>
      </c>
      <c r="F213" s="214"/>
      <c r="G213" s="214"/>
      <c r="H213" s="220"/>
    </row>
    <row r="214" s="181" customFormat="true" ht="17" hidden="true" customHeight="true" spans="1:8">
      <c r="A214" s="193"/>
      <c r="B214" s="214"/>
      <c r="C214" s="214"/>
      <c r="D214" s="215"/>
      <c r="E214" s="195" t="s">
        <v>1717</v>
      </c>
      <c r="F214" s="214"/>
      <c r="G214" s="214"/>
      <c r="H214" s="220"/>
    </row>
    <row r="215" s="181" customFormat="true" ht="17" hidden="true" customHeight="true" spans="1:8">
      <c r="A215" s="193"/>
      <c r="B215" s="214"/>
      <c r="C215" s="214"/>
      <c r="D215" s="215"/>
      <c r="E215" s="195" t="s">
        <v>1718</v>
      </c>
      <c r="F215" s="214"/>
      <c r="G215" s="214"/>
      <c r="H215" s="220"/>
    </row>
    <row r="216" s="181" customFormat="true" ht="17" hidden="true" customHeight="true" spans="1:8">
      <c r="A216" s="193"/>
      <c r="B216" s="214"/>
      <c r="C216" s="214"/>
      <c r="D216" s="215"/>
      <c r="E216" s="195" t="s">
        <v>1719</v>
      </c>
      <c r="F216" s="214"/>
      <c r="G216" s="214"/>
      <c r="H216" s="220"/>
    </row>
    <row r="217" s="181" customFormat="true" ht="17" hidden="true" customHeight="true" spans="1:8">
      <c r="A217" s="193"/>
      <c r="B217" s="214"/>
      <c r="C217" s="214"/>
      <c r="D217" s="215"/>
      <c r="E217" s="195" t="s">
        <v>1720</v>
      </c>
      <c r="F217" s="214"/>
      <c r="G217" s="214"/>
      <c r="H217" s="220"/>
    </row>
    <row r="218" s="181" customFormat="true" ht="17" hidden="true" customHeight="true" spans="1:8">
      <c r="A218" s="193"/>
      <c r="B218" s="214"/>
      <c r="C218" s="214"/>
      <c r="D218" s="215"/>
      <c r="E218" s="195" t="s">
        <v>1721</v>
      </c>
      <c r="F218" s="214"/>
      <c r="G218" s="214"/>
      <c r="H218" s="220"/>
    </row>
    <row r="219" s="181" customFormat="true" ht="17" hidden="true" customHeight="true" spans="1:8">
      <c r="A219" s="193"/>
      <c r="B219" s="214"/>
      <c r="C219" s="214"/>
      <c r="D219" s="215"/>
      <c r="E219" s="195" t="s">
        <v>1722</v>
      </c>
      <c r="F219" s="214"/>
      <c r="G219" s="214"/>
      <c r="H219" s="220"/>
    </row>
    <row r="220" s="181" customFormat="true" ht="17" hidden="true" customHeight="true" spans="1:8">
      <c r="A220" s="193"/>
      <c r="B220" s="214"/>
      <c r="C220" s="214"/>
      <c r="D220" s="215"/>
      <c r="E220" s="195" t="s">
        <v>1723</v>
      </c>
      <c r="F220" s="214"/>
      <c r="G220" s="214"/>
      <c r="H220" s="220"/>
    </row>
    <row r="221" s="181" customFormat="true" ht="17" hidden="true" customHeight="true" spans="1:8">
      <c r="A221" s="193"/>
      <c r="B221" s="214"/>
      <c r="C221" s="214"/>
      <c r="D221" s="215"/>
      <c r="E221" s="195" t="s">
        <v>1724</v>
      </c>
      <c r="F221" s="214"/>
      <c r="G221" s="214"/>
      <c r="H221" s="220"/>
    </row>
    <row r="222" s="181" customFormat="true" ht="17" hidden="true" customHeight="true" spans="1:8">
      <c r="A222" s="193"/>
      <c r="B222" s="214"/>
      <c r="C222" s="214"/>
      <c r="D222" s="215"/>
      <c r="E222" s="195" t="s">
        <v>1725</v>
      </c>
      <c r="F222" s="214"/>
      <c r="G222" s="214"/>
      <c r="H222" s="220"/>
    </row>
    <row r="223" s="181" customFormat="true" ht="17" hidden="true" customHeight="true" spans="1:8">
      <c r="A223" s="193"/>
      <c r="B223" s="214"/>
      <c r="C223" s="214"/>
      <c r="D223" s="215"/>
      <c r="E223" s="195" t="s">
        <v>1726</v>
      </c>
      <c r="F223" s="214"/>
      <c r="G223" s="214"/>
      <c r="H223" s="220"/>
    </row>
    <row r="224" s="181" customFormat="true" ht="17" hidden="true" customHeight="true" spans="1:8">
      <c r="A224" s="193"/>
      <c r="B224" s="214"/>
      <c r="C224" s="214"/>
      <c r="D224" s="215"/>
      <c r="E224" s="195" t="s">
        <v>1727</v>
      </c>
      <c r="F224" s="214"/>
      <c r="G224" s="214"/>
      <c r="H224" s="220"/>
    </row>
    <row r="225" s="181" customFormat="true" ht="17" hidden="true" customHeight="true" spans="1:8">
      <c r="A225" s="193"/>
      <c r="B225" s="214"/>
      <c r="C225" s="214"/>
      <c r="D225" s="215"/>
      <c r="E225" s="195" t="s">
        <v>1728</v>
      </c>
      <c r="F225" s="214"/>
      <c r="G225" s="214"/>
      <c r="H225" s="220"/>
    </row>
    <row r="226" s="181" customFormat="true" ht="17" hidden="true" customHeight="true" spans="1:8">
      <c r="A226" s="193"/>
      <c r="B226" s="214"/>
      <c r="C226" s="214"/>
      <c r="D226" s="215"/>
      <c r="E226" s="195" t="s">
        <v>1729</v>
      </c>
      <c r="F226" s="214">
        <f>F227+F240</f>
        <v>0</v>
      </c>
      <c r="G226" s="214">
        <f>G227+G240</f>
        <v>0</v>
      </c>
      <c r="H226" s="220"/>
    </row>
    <row r="227" s="181" customFormat="true" ht="17" hidden="true" customHeight="true" spans="1:8">
      <c r="A227" s="193"/>
      <c r="B227" s="214"/>
      <c r="C227" s="214"/>
      <c r="D227" s="215"/>
      <c r="E227" s="195" t="s">
        <v>1730</v>
      </c>
      <c r="F227" s="214">
        <f>SUM(F228:F239)</f>
        <v>0</v>
      </c>
      <c r="G227" s="214">
        <f>SUM(G228:G239)</f>
        <v>0</v>
      </c>
      <c r="H227" s="220"/>
    </row>
    <row r="228" s="181" customFormat="true" ht="17" hidden="true" customHeight="true" spans="1:8">
      <c r="A228" s="193"/>
      <c r="B228" s="214"/>
      <c r="C228" s="214"/>
      <c r="D228" s="215"/>
      <c r="E228" s="195" t="s">
        <v>1731</v>
      </c>
      <c r="F228" s="214"/>
      <c r="G228" s="214"/>
      <c r="H228" s="220"/>
    </row>
    <row r="229" s="181" customFormat="true" ht="17" hidden="true" customHeight="true" spans="1:8">
      <c r="A229" s="193"/>
      <c r="B229" s="214"/>
      <c r="C229" s="214"/>
      <c r="D229" s="215"/>
      <c r="E229" s="195" t="s">
        <v>1732</v>
      </c>
      <c r="F229" s="214"/>
      <c r="G229" s="214"/>
      <c r="H229" s="220"/>
    </row>
    <row r="230" s="181" customFormat="true" ht="17" hidden="true" customHeight="true" spans="1:8">
      <c r="A230" s="193"/>
      <c r="B230" s="214"/>
      <c r="C230" s="214"/>
      <c r="D230" s="215"/>
      <c r="E230" s="195" t="s">
        <v>1733</v>
      </c>
      <c r="F230" s="214"/>
      <c r="G230" s="214"/>
      <c r="H230" s="220"/>
    </row>
    <row r="231" s="181" customFormat="true" ht="17" hidden="true" customHeight="true" spans="1:8">
      <c r="A231" s="193"/>
      <c r="B231" s="214"/>
      <c r="C231" s="214"/>
      <c r="D231" s="215"/>
      <c r="E231" s="195" t="s">
        <v>1734</v>
      </c>
      <c r="F231" s="214"/>
      <c r="G231" s="214"/>
      <c r="H231" s="220"/>
    </row>
    <row r="232" s="181" customFormat="true" ht="17" hidden="true" customHeight="true" spans="1:8">
      <c r="A232" s="193"/>
      <c r="B232" s="214"/>
      <c r="C232" s="214"/>
      <c r="D232" s="215"/>
      <c r="E232" s="195" t="s">
        <v>1735</v>
      </c>
      <c r="F232" s="214"/>
      <c r="G232" s="214"/>
      <c r="H232" s="220"/>
    </row>
    <row r="233" s="181" customFormat="true" ht="17" hidden="true" customHeight="true" spans="1:8">
      <c r="A233" s="193"/>
      <c r="B233" s="214"/>
      <c r="C233" s="214"/>
      <c r="D233" s="215"/>
      <c r="E233" s="195" t="s">
        <v>1736</v>
      </c>
      <c r="F233" s="214"/>
      <c r="G233" s="214"/>
      <c r="H233" s="220"/>
    </row>
    <row r="234" s="181" customFormat="true" ht="17" hidden="true" customHeight="true" spans="1:8">
      <c r="A234" s="193"/>
      <c r="B234" s="214"/>
      <c r="C234" s="214"/>
      <c r="D234" s="215"/>
      <c r="E234" s="195" t="s">
        <v>1737</v>
      </c>
      <c r="F234" s="214"/>
      <c r="G234" s="214"/>
      <c r="H234" s="220"/>
    </row>
    <row r="235" s="181" customFormat="true" ht="17" hidden="true" customHeight="true" spans="1:8">
      <c r="A235" s="193"/>
      <c r="B235" s="214"/>
      <c r="C235" s="214"/>
      <c r="D235" s="215"/>
      <c r="E235" s="195" t="s">
        <v>1738</v>
      </c>
      <c r="F235" s="214"/>
      <c r="G235" s="214"/>
      <c r="H235" s="220"/>
    </row>
    <row r="236" s="181" customFormat="true" ht="17" hidden="true" customHeight="true" spans="1:8">
      <c r="A236" s="193"/>
      <c r="B236" s="214"/>
      <c r="C236" s="214"/>
      <c r="D236" s="215"/>
      <c r="E236" s="195" t="s">
        <v>1739</v>
      </c>
      <c r="F236" s="214"/>
      <c r="G236" s="214"/>
      <c r="H236" s="220"/>
    </row>
    <row r="237" s="181" customFormat="true" ht="17" hidden="true" customHeight="true" spans="1:8">
      <c r="A237" s="193"/>
      <c r="B237" s="214"/>
      <c r="C237" s="214"/>
      <c r="D237" s="215"/>
      <c r="E237" s="195" t="s">
        <v>1740</v>
      </c>
      <c r="F237" s="214"/>
      <c r="G237" s="214"/>
      <c r="H237" s="220"/>
    </row>
    <row r="238" s="181" customFormat="true" ht="17" hidden="true" customHeight="true" spans="1:8">
      <c r="A238" s="193"/>
      <c r="B238" s="214"/>
      <c r="C238" s="214"/>
      <c r="D238" s="215"/>
      <c r="E238" s="195" t="s">
        <v>1741</v>
      </c>
      <c r="F238" s="214"/>
      <c r="G238" s="214"/>
      <c r="H238" s="220"/>
    </row>
    <row r="239" s="181" customFormat="true" ht="17" hidden="true" customHeight="true" spans="1:8">
      <c r="A239" s="193"/>
      <c r="B239" s="214"/>
      <c r="C239" s="214"/>
      <c r="D239" s="215"/>
      <c r="E239" s="195" t="s">
        <v>1742</v>
      </c>
      <c r="F239" s="214"/>
      <c r="G239" s="214"/>
      <c r="H239" s="220"/>
    </row>
    <row r="240" s="181" customFormat="true" ht="17" hidden="true" customHeight="true" spans="1:8">
      <c r="A240" s="193"/>
      <c r="B240" s="214"/>
      <c r="C240" s="214"/>
      <c r="D240" s="215"/>
      <c r="E240" s="195" t="s">
        <v>1743</v>
      </c>
      <c r="F240" s="214">
        <f>SUM(F241:F246)</f>
        <v>0</v>
      </c>
      <c r="G240" s="214">
        <f>SUM(G241:G246)</f>
        <v>0</v>
      </c>
      <c r="H240" s="220"/>
    </row>
    <row r="241" s="181" customFormat="true" ht="17" hidden="true" customHeight="true" spans="1:8">
      <c r="A241" s="193"/>
      <c r="B241" s="214"/>
      <c r="C241" s="214"/>
      <c r="D241" s="215"/>
      <c r="E241" s="195" t="s">
        <v>1085</v>
      </c>
      <c r="F241" s="214"/>
      <c r="G241" s="214"/>
      <c r="H241" s="220"/>
    </row>
    <row r="242" s="181" customFormat="true" ht="17" hidden="true" customHeight="true" spans="1:8">
      <c r="A242" s="193"/>
      <c r="B242" s="214"/>
      <c r="C242" s="214"/>
      <c r="D242" s="215"/>
      <c r="E242" s="195" t="s">
        <v>1131</v>
      </c>
      <c r="F242" s="214"/>
      <c r="G242" s="214"/>
      <c r="H242" s="220"/>
    </row>
    <row r="243" s="181" customFormat="true" ht="17" hidden="true" customHeight="true" spans="1:8">
      <c r="A243" s="193"/>
      <c r="B243" s="214"/>
      <c r="C243" s="214"/>
      <c r="D243" s="215"/>
      <c r="E243" s="195" t="s">
        <v>1744</v>
      </c>
      <c r="F243" s="214"/>
      <c r="G243" s="214"/>
      <c r="H243" s="220"/>
    </row>
    <row r="244" s="181" customFormat="true" ht="17" hidden="true" customHeight="true" spans="1:8">
      <c r="A244" s="193"/>
      <c r="B244" s="214"/>
      <c r="C244" s="214"/>
      <c r="D244" s="215"/>
      <c r="E244" s="195" t="s">
        <v>1745</v>
      </c>
      <c r="F244" s="214"/>
      <c r="G244" s="214"/>
      <c r="H244" s="220"/>
    </row>
    <row r="245" s="181" customFormat="true" ht="17" hidden="true" customHeight="true" spans="1:8">
      <c r="A245" s="193"/>
      <c r="B245" s="214"/>
      <c r="C245" s="214"/>
      <c r="D245" s="215"/>
      <c r="E245" s="195" t="s">
        <v>1746</v>
      </c>
      <c r="F245" s="214"/>
      <c r="G245" s="214"/>
      <c r="H245" s="220"/>
    </row>
    <row r="246" s="181" customFormat="true" ht="17" hidden="true" customHeight="true" spans="1:8">
      <c r="A246" s="193"/>
      <c r="B246" s="214"/>
      <c r="C246" s="214"/>
      <c r="D246" s="215"/>
      <c r="E246" s="195" t="s">
        <v>1747</v>
      </c>
      <c r="F246" s="214"/>
      <c r="G246" s="214"/>
      <c r="H246" s="220"/>
    </row>
    <row r="247" s="181" customFormat="true" ht="17" hidden="true" customHeight="true" spans="1:8">
      <c r="A247" s="193"/>
      <c r="B247" s="214"/>
      <c r="C247" s="214"/>
      <c r="D247" s="215"/>
      <c r="E247" s="196"/>
      <c r="F247" s="214"/>
      <c r="G247" s="214"/>
      <c r="H247" s="220"/>
    </row>
    <row r="248" s="181" customFormat="true" ht="17" hidden="true" customHeight="true" spans="1:8">
      <c r="A248" s="193"/>
      <c r="B248" s="214"/>
      <c r="C248" s="214"/>
      <c r="D248" s="215"/>
      <c r="E248" s="196"/>
      <c r="F248" s="214"/>
      <c r="G248" s="214"/>
      <c r="H248" s="220"/>
    </row>
    <row r="249" s="183" customFormat="true" ht="17" customHeight="true" spans="1:8">
      <c r="A249" s="209" t="s">
        <v>203</v>
      </c>
      <c r="B249" s="223">
        <f>B7+B8+B9+B10+B11+B12+B18+B19+B22+B23+B24+B25+B26+B27+B33+B34</f>
        <v>55700</v>
      </c>
      <c r="C249" s="223">
        <f>C7+C8+C9+C10+C11+C12+C18+C19+C22+C23+C24+C25+C26+C27+C33+C34</f>
        <v>70900</v>
      </c>
      <c r="D249" s="224">
        <f t="shared" ref="D249:D251" si="2">(C249/B249-1)</f>
        <v>0.272890484739677</v>
      </c>
      <c r="E249" s="209" t="s">
        <v>204</v>
      </c>
      <c r="F249" s="226">
        <f>F7+F23+F35+F46+F104+F120+F164+F168+F194+F210+F226</f>
        <v>55700</v>
      </c>
      <c r="G249" s="226">
        <f>G7+G23+G35+G46+G104+G120+G164+G168+G194+G210+G226</f>
        <v>75807</v>
      </c>
      <c r="H249" s="224">
        <f>(G249/F249-1)</f>
        <v>0.360987432675045</v>
      </c>
    </row>
    <row r="250" s="181" customFormat="true" ht="17" customHeight="true" spans="1:8">
      <c r="A250" s="225" t="s">
        <v>205</v>
      </c>
      <c r="B250" s="226">
        <f t="shared" ref="B250:G250" si="3">SUM(B251:B254)</f>
        <v>0</v>
      </c>
      <c r="C250" s="226">
        <f t="shared" si="3"/>
        <v>4907</v>
      </c>
      <c r="D250" s="220">
        <v>0</v>
      </c>
      <c r="E250" s="225" t="s">
        <v>206</v>
      </c>
      <c r="F250" s="214">
        <f t="shared" si="3"/>
        <v>0</v>
      </c>
      <c r="G250" s="214">
        <f t="shared" si="3"/>
        <v>0</v>
      </c>
      <c r="H250" s="220"/>
    </row>
    <row r="251" s="181" customFormat="true" ht="17" customHeight="true" spans="1:8">
      <c r="A251" s="198" t="s">
        <v>207</v>
      </c>
      <c r="B251" s="214"/>
      <c r="C251" s="214">
        <v>345</v>
      </c>
      <c r="D251" s="220">
        <v>0</v>
      </c>
      <c r="E251" s="198" t="s">
        <v>208</v>
      </c>
      <c r="F251" s="214"/>
      <c r="G251" s="214"/>
      <c r="H251" s="220"/>
    </row>
    <row r="252" s="181" customFormat="true" ht="17" customHeight="true" spans="1:8">
      <c r="A252" s="198" t="s">
        <v>1748</v>
      </c>
      <c r="B252" s="214"/>
      <c r="C252" s="214"/>
      <c r="D252" s="220"/>
      <c r="E252" s="198" t="s">
        <v>1749</v>
      </c>
      <c r="F252" s="214"/>
      <c r="G252" s="214"/>
      <c r="H252" s="220"/>
    </row>
    <row r="253" s="181" customFormat="true" ht="17" customHeight="true" spans="1:8">
      <c r="A253" s="198" t="s">
        <v>209</v>
      </c>
      <c r="B253" s="214"/>
      <c r="C253" s="214">
        <v>4562</v>
      </c>
      <c r="D253" s="220"/>
      <c r="E253" s="198" t="s">
        <v>210</v>
      </c>
      <c r="F253" s="214"/>
      <c r="G253" s="214"/>
      <c r="H253" s="220"/>
    </row>
    <row r="254" s="181" customFormat="true" ht="17" customHeight="true" spans="1:8">
      <c r="A254" s="198" t="s">
        <v>211</v>
      </c>
      <c r="B254" s="214"/>
      <c r="C254" s="214"/>
      <c r="D254" s="220"/>
      <c r="E254" s="198" t="s">
        <v>212</v>
      </c>
      <c r="F254" s="214"/>
      <c r="G254" s="214"/>
      <c r="H254" s="220"/>
    </row>
    <row r="255" s="181" customFormat="true" ht="17" customHeight="true" spans="1:8">
      <c r="A255" s="225" t="s">
        <v>213</v>
      </c>
      <c r="B255" s="214">
        <f t="shared" ref="B255:G255" si="4">SUM(B256:B257)</f>
        <v>0</v>
      </c>
      <c r="C255" s="214">
        <f t="shared" si="4"/>
        <v>65000</v>
      </c>
      <c r="D255" s="220"/>
      <c r="E255" s="225" t="s">
        <v>214</v>
      </c>
      <c r="F255" s="214">
        <f t="shared" si="4"/>
        <v>0</v>
      </c>
      <c r="G255" s="214">
        <f t="shared" si="4"/>
        <v>65000</v>
      </c>
      <c r="H255" s="220">
        <v>0</v>
      </c>
    </row>
    <row r="256" s="181" customFormat="true" ht="17" customHeight="true" spans="1:8">
      <c r="A256" s="216" t="s">
        <v>215</v>
      </c>
      <c r="B256" s="214"/>
      <c r="C256" s="214"/>
      <c r="D256" s="220"/>
      <c r="E256" s="216" t="s">
        <v>216</v>
      </c>
      <c r="F256" s="214"/>
      <c r="G256" s="214">
        <v>65000</v>
      </c>
      <c r="H256" s="220">
        <v>0</v>
      </c>
    </row>
    <row r="257" s="181" customFormat="true" ht="17" customHeight="true" spans="1:8">
      <c r="A257" s="216" t="s">
        <v>1750</v>
      </c>
      <c r="B257" s="214"/>
      <c r="C257" s="214">
        <v>65000</v>
      </c>
      <c r="D257" s="220"/>
      <c r="E257" s="216" t="s">
        <v>1751</v>
      </c>
      <c r="F257" s="214"/>
      <c r="G257" s="214"/>
      <c r="H257" s="220"/>
    </row>
    <row r="258" s="181" customFormat="true" ht="17" customHeight="true" spans="1:8">
      <c r="A258" s="216"/>
      <c r="B258" s="214"/>
      <c r="C258" s="214"/>
      <c r="D258" s="220"/>
      <c r="E258" s="216"/>
      <c r="F258" s="214"/>
      <c r="G258" s="214"/>
      <c r="H258" s="220"/>
    </row>
    <row r="259" s="181" customFormat="true" ht="17" customHeight="true" spans="1:8">
      <c r="A259" s="216"/>
      <c r="B259" s="227"/>
      <c r="C259" s="227"/>
      <c r="D259" s="220"/>
      <c r="E259" s="216"/>
      <c r="F259" s="214"/>
      <c r="G259" s="214"/>
      <c r="H259" s="220"/>
    </row>
    <row r="260" s="183" customFormat="true" ht="17" customHeight="true" spans="1:8">
      <c r="A260" s="209" t="s">
        <v>67</v>
      </c>
      <c r="B260" s="223">
        <f t="shared" ref="B260:G260" si="5">B249+B250+B255</f>
        <v>55700</v>
      </c>
      <c r="C260" s="223">
        <f t="shared" si="5"/>
        <v>140807</v>
      </c>
      <c r="D260" s="224">
        <f>(C260/B260-1)</f>
        <v>1.52795332136445</v>
      </c>
      <c r="E260" s="209" t="s">
        <v>68</v>
      </c>
      <c r="F260" s="226">
        <f t="shared" si="5"/>
        <v>55700</v>
      </c>
      <c r="G260" s="226">
        <f t="shared" si="5"/>
        <v>140807</v>
      </c>
      <c r="H260" s="224">
        <f>(G260/F260-1)</f>
        <v>1.52795332136445</v>
      </c>
    </row>
    <row r="261" s="181" customFormat="true" ht="20.1" customHeight="true" spans="4:8">
      <c r="D261" s="204"/>
      <c r="F261" s="205"/>
      <c r="G261" s="205"/>
      <c r="H261" s="204"/>
    </row>
    <row r="262" s="181" customFormat="true" ht="20.1" customHeight="true" spans="4:8">
      <c r="D262" s="204"/>
      <c r="F262" s="205"/>
      <c r="G262" s="205">
        <f>C260-G260</f>
        <v>0</v>
      </c>
      <c r="H262" s="204"/>
    </row>
    <row r="263" s="181" customFormat="true" ht="20.1" customHeight="true" spans="4:8">
      <c r="D263" s="204"/>
      <c r="F263" s="205"/>
      <c r="G263" s="205"/>
      <c r="H263" s="204"/>
    </row>
    <row r="264" s="181" customFormat="true" ht="20.1" customHeight="true" spans="4:8">
      <c r="D264" s="204"/>
      <c r="F264" s="205"/>
      <c r="G264" s="205"/>
      <c r="H264" s="204"/>
    </row>
    <row r="265" s="181" customFormat="true" ht="20.1" customHeight="true" spans="4:8">
      <c r="D265" s="204"/>
      <c r="F265" s="205"/>
      <c r="G265" s="205"/>
      <c r="H265" s="204"/>
    </row>
    <row r="266" s="181" customFormat="true" ht="20.1" customHeight="true" spans="4:8">
      <c r="D266" s="204"/>
      <c r="F266" s="205"/>
      <c r="G266" s="205"/>
      <c r="H266" s="204"/>
    </row>
    <row r="267" s="181" customFormat="true" ht="20.1" customHeight="true" spans="4:8">
      <c r="D267" s="204"/>
      <c r="F267" s="205"/>
      <c r="G267" s="205"/>
      <c r="H267" s="204"/>
    </row>
    <row r="268" s="181" customFormat="true" ht="20.1" customHeight="true" spans="4:8">
      <c r="D268" s="204"/>
      <c r="F268" s="205"/>
      <c r="G268" s="205"/>
      <c r="H268" s="204"/>
    </row>
    <row r="269" s="181" customFormat="true" ht="20.1" customHeight="true" spans="4:8">
      <c r="D269" s="204"/>
      <c r="F269" s="205"/>
      <c r="G269" s="205"/>
      <c r="H269" s="204"/>
    </row>
    <row r="270" s="181" customFormat="true" ht="20.1" customHeight="true" spans="4:8">
      <c r="D270" s="204"/>
      <c r="F270" s="205"/>
      <c r="G270" s="205"/>
      <c r="H270" s="204"/>
    </row>
    <row r="271" s="181" customFormat="true" ht="20.1" customHeight="true" spans="4:8">
      <c r="D271" s="204"/>
      <c r="F271" s="205"/>
      <c r="G271" s="205"/>
      <c r="H271" s="204"/>
    </row>
    <row r="272" s="181" customFormat="true" ht="20.1" customHeight="true" spans="4:8">
      <c r="D272" s="204"/>
      <c r="F272" s="205"/>
      <c r="G272" s="205"/>
      <c r="H272" s="204"/>
    </row>
    <row r="273" s="181" customFormat="true" ht="20.1" customHeight="true" spans="4:8">
      <c r="D273" s="204"/>
      <c r="F273" s="205"/>
      <c r="G273" s="205"/>
      <c r="H273" s="204"/>
    </row>
    <row r="274" s="181" customFormat="true" ht="20.1" customHeight="true" spans="4:8">
      <c r="D274" s="204"/>
      <c r="F274" s="205"/>
      <c r="G274" s="205"/>
      <c r="H274" s="204"/>
    </row>
    <row r="275" s="181" customFormat="true" ht="20.1" customHeight="true" spans="4:8">
      <c r="D275" s="204"/>
      <c r="F275" s="205"/>
      <c r="G275" s="205"/>
      <c r="H275" s="204"/>
    </row>
    <row r="276" s="181" customFormat="true" ht="20.1" customHeight="true" spans="4:8">
      <c r="D276" s="204"/>
      <c r="F276" s="205"/>
      <c r="G276" s="205"/>
      <c r="H276" s="204"/>
    </row>
    <row r="277" s="181" customFormat="true" ht="20.1" customHeight="true" spans="4:8">
      <c r="D277" s="204"/>
      <c r="F277" s="205"/>
      <c r="G277" s="205"/>
      <c r="H277" s="204"/>
    </row>
    <row r="278" s="181" customFormat="true" ht="20.1" customHeight="true" spans="4:8">
      <c r="D278" s="204"/>
      <c r="F278" s="205"/>
      <c r="G278" s="205"/>
      <c r="H278" s="204"/>
    </row>
    <row r="279" s="181" customFormat="true" ht="20.1" customHeight="true" spans="4:8">
      <c r="D279" s="204"/>
      <c r="F279" s="205"/>
      <c r="G279" s="205"/>
      <c r="H279" s="204"/>
    </row>
    <row r="280" s="181" customFormat="true" ht="20.1" customHeight="true" spans="4:8">
      <c r="D280" s="204"/>
      <c r="F280" s="205"/>
      <c r="G280" s="205"/>
      <c r="H280" s="204"/>
    </row>
    <row r="281" s="181" customFormat="true" ht="20.1" customHeight="true" spans="4:8">
      <c r="D281" s="204"/>
      <c r="F281" s="205"/>
      <c r="G281" s="205"/>
      <c r="H281" s="204"/>
    </row>
    <row r="282" s="181" customFormat="true" ht="20.1" customHeight="true" spans="4:8">
      <c r="D282" s="204"/>
      <c r="F282" s="205"/>
      <c r="G282" s="205"/>
      <c r="H282" s="204"/>
    </row>
    <row r="283" s="181" customFormat="true" ht="20.1" customHeight="true" spans="4:8">
      <c r="D283" s="204"/>
      <c r="F283" s="205"/>
      <c r="G283" s="205"/>
      <c r="H283" s="204"/>
    </row>
    <row r="284" s="181" customFormat="true" ht="20.1" customHeight="true" spans="4:8">
      <c r="D284" s="204"/>
      <c r="F284" s="205"/>
      <c r="G284" s="205"/>
      <c r="H284" s="204"/>
    </row>
    <row r="285" s="181" customFormat="true" ht="20.1" customHeight="true" spans="4:8">
      <c r="D285" s="204"/>
      <c r="F285" s="205"/>
      <c r="G285" s="205"/>
      <c r="H285" s="204"/>
    </row>
    <row r="286" s="181" customFormat="true" ht="20.1" customHeight="true" spans="4:8">
      <c r="D286" s="204"/>
      <c r="F286" s="205"/>
      <c r="G286" s="205"/>
      <c r="H286" s="204"/>
    </row>
    <row r="287" s="181" customFormat="true" ht="20.1" customHeight="true" spans="4:8">
      <c r="D287" s="204"/>
      <c r="F287" s="205"/>
      <c r="G287" s="205"/>
      <c r="H287" s="204"/>
    </row>
    <row r="288" s="181" customFormat="true" ht="20.1" customHeight="true" spans="4:8">
      <c r="D288" s="204"/>
      <c r="F288" s="205"/>
      <c r="G288" s="205"/>
      <c r="H288" s="204"/>
    </row>
    <row r="289" s="181" customFormat="true" ht="20.1" customHeight="true" spans="4:8">
      <c r="D289" s="204"/>
      <c r="F289" s="205"/>
      <c r="G289" s="205"/>
      <c r="H289" s="204"/>
    </row>
    <row r="290" s="181" customFormat="true" ht="20.1" customHeight="true" spans="4:8">
      <c r="D290" s="204"/>
      <c r="F290" s="205"/>
      <c r="G290" s="205"/>
      <c r="H290" s="204"/>
    </row>
    <row r="291" s="181" customFormat="true" ht="20.1" customHeight="true" spans="4:8">
      <c r="D291" s="204"/>
      <c r="F291" s="205"/>
      <c r="G291" s="205"/>
      <c r="H291" s="204"/>
    </row>
    <row r="292" s="181" customFormat="true" ht="20.1" customHeight="true" spans="4:8">
      <c r="D292" s="204"/>
      <c r="F292" s="205"/>
      <c r="G292" s="205"/>
      <c r="H292" s="204"/>
    </row>
    <row r="293" s="181" customFormat="true" ht="20.1" customHeight="true" spans="4:8">
      <c r="D293" s="204"/>
      <c r="F293" s="205"/>
      <c r="G293" s="205"/>
      <c r="H293" s="204"/>
    </row>
    <row r="294" s="181" customFormat="true" ht="20.1" customHeight="true" spans="4:8">
      <c r="D294" s="204"/>
      <c r="F294" s="205"/>
      <c r="G294" s="205"/>
      <c r="H294" s="204"/>
    </row>
    <row r="295" s="181" customFormat="true" ht="20.1" customHeight="true" spans="4:8">
      <c r="D295" s="204"/>
      <c r="F295" s="205"/>
      <c r="G295" s="205"/>
      <c r="H295" s="204"/>
    </row>
    <row r="296" s="181" customFormat="true" ht="20.1" customHeight="true" spans="4:8">
      <c r="D296" s="204"/>
      <c r="F296" s="205"/>
      <c r="G296" s="205"/>
      <c r="H296" s="204"/>
    </row>
    <row r="297" s="181" customFormat="true" ht="20.1" customHeight="true" spans="4:8">
      <c r="D297" s="204"/>
      <c r="F297" s="205"/>
      <c r="G297" s="205"/>
      <c r="H297" s="204"/>
    </row>
    <row r="298" s="181" customFormat="true" ht="20.1" customHeight="true" spans="4:8">
      <c r="D298" s="204"/>
      <c r="F298" s="205"/>
      <c r="G298" s="205"/>
      <c r="H298" s="204"/>
    </row>
    <row r="299" s="181" customFormat="true" ht="20.1" customHeight="true" spans="4:8">
      <c r="D299" s="204"/>
      <c r="F299" s="205"/>
      <c r="G299" s="205"/>
      <c r="H299" s="204"/>
    </row>
    <row r="300" s="181" customFormat="true" ht="20.1" customHeight="true" spans="4:8">
      <c r="D300" s="204"/>
      <c r="F300" s="205"/>
      <c r="G300" s="205"/>
      <c r="H300" s="204"/>
    </row>
    <row r="301" s="181" customFormat="true" ht="20.1" customHeight="true" spans="4:8">
      <c r="D301" s="204"/>
      <c r="F301" s="205"/>
      <c r="G301" s="205"/>
      <c r="H301" s="204"/>
    </row>
    <row r="302" s="181" customFormat="true" ht="20.1" customHeight="true" spans="4:8">
      <c r="D302" s="204"/>
      <c r="F302" s="205"/>
      <c r="G302" s="205"/>
      <c r="H302" s="204"/>
    </row>
    <row r="303" s="181" customFormat="true" ht="20.1" customHeight="true" spans="4:8">
      <c r="D303" s="204"/>
      <c r="F303" s="205"/>
      <c r="G303" s="205"/>
      <c r="H303" s="204"/>
    </row>
    <row r="304" s="181" customFormat="true" ht="20.1" customHeight="true" spans="4:8">
      <c r="D304" s="204"/>
      <c r="F304" s="205"/>
      <c r="G304" s="205"/>
      <c r="H304" s="204"/>
    </row>
    <row r="305" s="181" customFormat="true" ht="20.1" customHeight="true" spans="4:8">
      <c r="D305" s="204"/>
      <c r="F305" s="205"/>
      <c r="G305" s="205"/>
      <c r="H305" s="204"/>
    </row>
    <row r="306" s="181" customFormat="true" ht="20.1" customHeight="true" spans="4:8">
      <c r="D306" s="204"/>
      <c r="F306" s="205"/>
      <c r="G306" s="205"/>
      <c r="H306" s="204"/>
    </row>
    <row r="307" s="181" customFormat="true" ht="20.1" customHeight="true" spans="4:8">
      <c r="D307" s="204"/>
      <c r="F307" s="205"/>
      <c r="G307" s="205"/>
      <c r="H307" s="204"/>
    </row>
    <row r="308" s="181" customFormat="true" ht="20.1" customHeight="true" spans="4:8">
      <c r="D308" s="204"/>
      <c r="F308" s="205"/>
      <c r="G308" s="205"/>
      <c r="H308" s="204"/>
    </row>
    <row r="309" s="181" customFormat="true" ht="20.1" customHeight="true" spans="4:8">
      <c r="D309" s="204"/>
      <c r="F309" s="205"/>
      <c r="G309" s="205"/>
      <c r="H309" s="204"/>
    </row>
    <row r="310" s="181" customFormat="true" ht="20.1" customHeight="true" spans="4:8">
      <c r="D310" s="204"/>
      <c r="F310" s="205"/>
      <c r="G310" s="205"/>
      <c r="H310" s="204"/>
    </row>
    <row r="311" s="181" customFormat="true" ht="20.1" customHeight="true" spans="4:8">
      <c r="D311" s="204"/>
      <c r="F311" s="205"/>
      <c r="G311" s="205"/>
      <c r="H311" s="204"/>
    </row>
    <row r="312" s="181" customFormat="true" ht="20.1" customHeight="true" spans="4:8">
      <c r="D312" s="204"/>
      <c r="F312" s="205"/>
      <c r="G312" s="205"/>
      <c r="H312" s="204"/>
    </row>
    <row r="313" s="181" customFormat="true" ht="20.1" customHeight="true" spans="4:8">
      <c r="D313" s="204"/>
      <c r="F313" s="205"/>
      <c r="G313" s="205"/>
      <c r="H313" s="204"/>
    </row>
  </sheetData>
  <mergeCells count="9">
    <mergeCell ref="A2:H2"/>
    <mergeCell ref="A4:D4"/>
    <mergeCell ref="E4:H4"/>
    <mergeCell ref="C5:D5"/>
    <mergeCell ref="G5:H5"/>
    <mergeCell ref="A5:A6"/>
    <mergeCell ref="B5:B6"/>
    <mergeCell ref="E5:E6"/>
    <mergeCell ref="F5:F6"/>
  </mergeCells>
  <printOptions horizontalCentered="true"/>
  <pageMargins left="0.468055555555556" right="0.468055555555556" top="0.590277777777778" bottom="0.468055555555556" header="0.310416666666667" footer="0.310416666666667"/>
  <pageSetup paperSize="9" scale="64"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showGridLines="0" showZeros="0" zoomScale="130" zoomScaleNormal="130" workbookViewId="0">
      <pane xSplit="1" ySplit="5" topLeftCell="B6" activePane="bottomRight" state="frozen"/>
      <selection/>
      <selection pane="topRight"/>
      <selection pane="bottomLeft"/>
      <selection pane="bottomRight" activeCell="E48" sqref="E48"/>
    </sheetView>
  </sheetViews>
  <sheetFormatPr defaultColWidth="9" defaultRowHeight="13.5" outlineLevelCol="7"/>
  <cols>
    <col min="1" max="1" width="63.375" style="181" customWidth="true"/>
    <col min="2" max="8" width="13.625" style="184" customWidth="true"/>
    <col min="9" max="16384" width="9" style="181"/>
  </cols>
  <sheetData>
    <row r="1" s="181" customFormat="true" ht="14.25" spans="1:8">
      <c r="A1" s="185" t="s">
        <v>1752</v>
      </c>
      <c r="B1" s="184"/>
      <c r="C1" s="184"/>
      <c r="D1" s="184"/>
      <c r="E1" s="184"/>
      <c r="F1" s="184"/>
      <c r="G1" s="184"/>
      <c r="H1" s="184"/>
    </row>
    <row r="2" s="182" customFormat="true" ht="22.5" spans="1:8">
      <c r="A2" s="186" t="s">
        <v>1753</v>
      </c>
      <c r="B2" s="187"/>
      <c r="C2" s="187"/>
      <c r="D2" s="187"/>
      <c r="E2" s="187"/>
      <c r="F2" s="187"/>
      <c r="G2" s="187"/>
      <c r="H2" s="187"/>
    </row>
    <row r="3" s="181" customFormat="true" ht="18" customHeight="true" spans="2:8">
      <c r="B3" s="184"/>
      <c r="C3" s="184"/>
      <c r="D3" s="184"/>
      <c r="E3" s="184"/>
      <c r="F3" s="184"/>
      <c r="G3" s="184"/>
      <c r="H3" s="200" t="s">
        <v>3</v>
      </c>
    </row>
    <row r="4" s="183" customFormat="true" ht="31.5" customHeight="true" spans="1:8">
      <c r="A4" s="188" t="s">
        <v>264</v>
      </c>
      <c r="B4" s="189" t="s">
        <v>1312</v>
      </c>
      <c r="C4" s="189" t="s">
        <v>1754</v>
      </c>
      <c r="D4" s="189" t="s">
        <v>1755</v>
      </c>
      <c r="E4" s="189" t="s">
        <v>303</v>
      </c>
      <c r="F4" s="201" t="s">
        <v>1316</v>
      </c>
      <c r="G4" s="189" t="s">
        <v>1317</v>
      </c>
      <c r="H4" s="189" t="s">
        <v>1318</v>
      </c>
    </row>
    <row r="5" s="183" customFormat="true" ht="27.75" customHeight="true" spans="1:8">
      <c r="A5" s="190"/>
      <c r="B5" s="191"/>
      <c r="C5" s="191"/>
      <c r="D5" s="192"/>
      <c r="E5" s="202"/>
      <c r="F5" s="203"/>
      <c r="G5" s="191"/>
      <c r="H5" s="191"/>
    </row>
    <row r="6" s="181" customFormat="true" ht="18.4" customHeight="true" spans="1:8">
      <c r="A6" s="193" t="s">
        <v>179</v>
      </c>
      <c r="B6" s="194">
        <f t="shared" ref="B6:B53" si="0">C6+D6+E6+F6+G6+H6</f>
        <v>0</v>
      </c>
      <c r="C6" s="194">
        <f t="shared" ref="C6:H6" si="1">SUM(C7:C9)</f>
        <v>0</v>
      </c>
      <c r="D6" s="194">
        <f t="shared" si="1"/>
        <v>0</v>
      </c>
      <c r="E6" s="194">
        <f t="shared" si="1"/>
        <v>0</v>
      </c>
      <c r="F6" s="194">
        <f t="shared" si="1"/>
        <v>0</v>
      </c>
      <c r="G6" s="194">
        <f t="shared" si="1"/>
        <v>0</v>
      </c>
      <c r="H6" s="194">
        <f t="shared" si="1"/>
        <v>0</v>
      </c>
    </row>
    <row r="7" s="181" customFormat="true" ht="18.4" customHeight="true" spans="1:8">
      <c r="A7" s="195" t="s">
        <v>1756</v>
      </c>
      <c r="B7" s="194">
        <f t="shared" si="0"/>
        <v>0</v>
      </c>
      <c r="C7" s="194"/>
      <c r="D7" s="194"/>
      <c r="E7" s="194"/>
      <c r="F7" s="194"/>
      <c r="G7" s="194"/>
      <c r="H7" s="194"/>
    </row>
    <row r="8" s="181" customFormat="true" ht="18.4" customHeight="true" spans="1:8">
      <c r="A8" s="195" t="s">
        <v>1757</v>
      </c>
      <c r="B8" s="194">
        <f t="shared" si="0"/>
        <v>0</v>
      </c>
      <c r="C8" s="194"/>
      <c r="D8" s="194"/>
      <c r="E8" s="194"/>
      <c r="F8" s="194"/>
      <c r="G8" s="194"/>
      <c r="H8" s="194"/>
    </row>
    <row r="9" s="181" customFormat="true" ht="18.4" customHeight="true" spans="1:8">
      <c r="A9" s="195" t="s">
        <v>1758</v>
      </c>
      <c r="B9" s="194">
        <f t="shared" si="0"/>
        <v>0</v>
      </c>
      <c r="C9" s="194"/>
      <c r="D9" s="194"/>
      <c r="E9" s="194"/>
      <c r="F9" s="194"/>
      <c r="G9" s="194"/>
      <c r="H9" s="194"/>
    </row>
    <row r="10" s="181" customFormat="true" ht="18.4" customHeight="true" spans="1:8">
      <c r="A10" s="193" t="s">
        <v>181</v>
      </c>
      <c r="B10" s="194">
        <f t="shared" si="0"/>
        <v>0</v>
      </c>
      <c r="C10" s="194">
        <f t="shared" ref="C10:H10" si="2">SUM(C11:C13)</f>
        <v>0</v>
      </c>
      <c r="D10" s="194">
        <f t="shared" si="2"/>
        <v>0</v>
      </c>
      <c r="E10" s="194">
        <f t="shared" si="2"/>
        <v>0</v>
      </c>
      <c r="F10" s="194">
        <f t="shared" si="2"/>
        <v>0</v>
      </c>
      <c r="G10" s="194">
        <f t="shared" si="2"/>
        <v>0</v>
      </c>
      <c r="H10" s="194">
        <f t="shared" si="2"/>
        <v>0</v>
      </c>
    </row>
    <row r="11" s="181" customFormat="true" ht="18.4" customHeight="true" spans="1:8">
      <c r="A11" s="195" t="s">
        <v>1542</v>
      </c>
      <c r="B11" s="194">
        <f t="shared" si="0"/>
        <v>0</v>
      </c>
      <c r="C11" s="194"/>
      <c r="D11" s="194"/>
      <c r="E11" s="194"/>
      <c r="F11" s="194"/>
      <c r="G11" s="194"/>
      <c r="H11" s="194"/>
    </row>
    <row r="12" s="181" customFormat="true" ht="18.4" customHeight="true" spans="1:8">
      <c r="A12" s="195" t="s">
        <v>1550</v>
      </c>
      <c r="B12" s="194">
        <f t="shared" si="0"/>
        <v>0</v>
      </c>
      <c r="C12" s="194"/>
      <c r="D12" s="194"/>
      <c r="E12" s="194"/>
      <c r="F12" s="194"/>
      <c r="G12" s="194"/>
      <c r="H12" s="194"/>
    </row>
    <row r="13" s="181" customFormat="true" ht="18.4" customHeight="true" spans="1:8">
      <c r="A13" s="195" t="s">
        <v>1556</v>
      </c>
      <c r="B13" s="194">
        <f t="shared" si="0"/>
        <v>0</v>
      </c>
      <c r="C13" s="194"/>
      <c r="D13" s="194"/>
      <c r="E13" s="194"/>
      <c r="F13" s="194"/>
      <c r="G13" s="194"/>
      <c r="H13" s="194"/>
    </row>
    <row r="14" s="181" customFormat="true" ht="18.4" customHeight="true" spans="1:8">
      <c r="A14" s="193" t="s">
        <v>183</v>
      </c>
      <c r="B14" s="194">
        <f t="shared" si="0"/>
        <v>0</v>
      </c>
      <c r="C14" s="194">
        <f t="shared" ref="C14:H14" si="3">SUM(C15:C16)</f>
        <v>0</v>
      </c>
      <c r="D14" s="194">
        <f t="shared" si="3"/>
        <v>0</v>
      </c>
      <c r="E14" s="194">
        <f t="shared" si="3"/>
        <v>0</v>
      </c>
      <c r="F14" s="194">
        <f t="shared" si="3"/>
        <v>0</v>
      </c>
      <c r="G14" s="194">
        <f t="shared" si="3"/>
        <v>0</v>
      </c>
      <c r="H14" s="194">
        <f t="shared" si="3"/>
        <v>0</v>
      </c>
    </row>
    <row r="15" s="181" customFormat="true" ht="18.4" customHeight="true" spans="1:8">
      <c r="A15" s="193" t="s">
        <v>1562</v>
      </c>
      <c r="B15" s="194">
        <f t="shared" si="0"/>
        <v>0</v>
      </c>
      <c r="C15" s="194"/>
      <c r="D15" s="194"/>
      <c r="E15" s="194"/>
      <c r="F15" s="194"/>
      <c r="G15" s="194"/>
      <c r="H15" s="194"/>
    </row>
    <row r="16" s="181" customFormat="true" ht="18.4" customHeight="true" spans="1:8">
      <c r="A16" s="193" t="s">
        <v>1572</v>
      </c>
      <c r="B16" s="194">
        <f t="shared" si="0"/>
        <v>0</v>
      </c>
      <c r="C16" s="194"/>
      <c r="D16" s="194"/>
      <c r="E16" s="194"/>
      <c r="F16" s="194"/>
      <c r="G16" s="194"/>
      <c r="H16" s="194"/>
    </row>
    <row r="17" s="181" customFormat="true" ht="18.4" customHeight="true" spans="1:8">
      <c r="A17" s="193" t="s">
        <v>184</v>
      </c>
      <c r="B17" s="194">
        <f t="shared" si="0"/>
        <v>4746</v>
      </c>
      <c r="C17" s="194">
        <f t="shared" ref="C17:H17" si="4">SUM(C18:C27)</f>
        <v>4463</v>
      </c>
      <c r="D17" s="194">
        <f t="shared" si="4"/>
        <v>0</v>
      </c>
      <c r="E17" s="194">
        <f t="shared" si="4"/>
        <v>283</v>
      </c>
      <c r="F17" s="194">
        <f t="shared" si="4"/>
        <v>0</v>
      </c>
      <c r="G17" s="194">
        <f t="shared" si="4"/>
        <v>0</v>
      </c>
      <c r="H17" s="194">
        <f t="shared" si="4"/>
        <v>0</v>
      </c>
    </row>
    <row r="18" s="181" customFormat="true" ht="18.4" customHeight="true" spans="1:8">
      <c r="A18" s="193" t="s">
        <v>187</v>
      </c>
      <c r="B18" s="194">
        <f t="shared" si="0"/>
        <v>3846</v>
      </c>
      <c r="C18" s="194">
        <f>3846-283</f>
        <v>3563</v>
      </c>
      <c r="D18" s="194"/>
      <c r="E18" s="194">
        <v>283</v>
      </c>
      <c r="F18" s="194"/>
      <c r="G18" s="194"/>
      <c r="H18" s="194"/>
    </row>
    <row r="19" s="181" customFormat="true" ht="18.4" customHeight="true" spans="1:8">
      <c r="A19" s="193" t="s">
        <v>1602</v>
      </c>
      <c r="B19" s="194">
        <f t="shared" si="0"/>
        <v>0</v>
      </c>
      <c r="C19" s="194"/>
      <c r="D19" s="194"/>
      <c r="E19" s="194"/>
      <c r="F19" s="194"/>
      <c r="G19" s="194"/>
      <c r="H19" s="194"/>
    </row>
    <row r="20" s="181" customFormat="true" ht="18.4" customHeight="true" spans="1:8">
      <c r="A20" s="193" t="s">
        <v>190</v>
      </c>
      <c r="B20" s="194">
        <f t="shared" si="0"/>
        <v>100</v>
      </c>
      <c r="C20" s="194">
        <v>100</v>
      </c>
      <c r="D20" s="194"/>
      <c r="E20" s="194"/>
      <c r="F20" s="194"/>
      <c r="G20" s="194"/>
      <c r="H20" s="194"/>
    </row>
    <row r="21" s="181" customFormat="true" ht="18.4" customHeight="true" spans="1:8">
      <c r="A21" s="193" t="s">
        <v>193</v>
      </c>
      <c r="B21" s="194">
        <f t="shared" si="0"/>
        <v>0</v>
      </c>
      <c r="C21" s="194"/>
      <c r="D21" s="194"/>
      <c r="E21" s="194"/>
      <c r="F21" s="194"/>
      <c r="G21" s="194"/>
      <c r="H21" s="194"/>
    </row>
    <row r="22" s="181" customFormat="true" ht="18.4" customHeight="true" spans="1:8">
      <c r="A22" s="193" t="s">
        <v>1759</v>
      </c>
      <c r="B22" s="194">
        <f t="shared" si="0"/>
        <v>800</v>
      </c>
      <c r="C22" s="194">
        <v>800</v>
      </c>
      <c r="D22" s="194"/>
      <c r="E22" s="194"/>
      <c r="F22" s="194"/>
      <c r="G22" s="194"/>
      <c r="H22" s="194"/>
    </row>
    <row r="23" s="181" customFormat="true" ht="18.4" customHeight="true" spans="1:8">
      <c r="A23" s="193" t="s">
        <v>1612</v>
      </c>
      <c r="B23" s="194">
        <f t="shared" si="0"/>
        <v>0</v>
      </c>
      <c r="C23" s="194"/>
      <c r="D23" s="194"/>
      <c r="E23" s="194"/>
      <c r="F23" s="194"/>
      <c r="G23" s="194"/>
      <c r="H23" s="194"/>
    </row>
    <row r="24" s="181" customFormat="true" ht="18.4" customHeight="true" spans="1:8">
      <c r="A24" s="193" t="s">
        <v>1614</v>
      </c>
      <c r="B24" s="194">
        <f t="shared" si="0"/>
        <v>0</v>
      </c>
      <c r="C24" s="194"/>
      <c r="D24" s="194"/>
      <c r="E24" s="194"/>
      <c r="F24" s="194"/>
      <c r="G24" s="194"/>
      <c r="H24" s="194"/>
    </row>
    <row r="25" s="181" customFormat="true" ht="18.4" customHeight="true" spans="1:8">
      <c r="A25" s="193" t="s">
        <v>1616</v>
      </c>
      <c r="B25" s="194">
        <f t="shared" si="0"/>
        <v>0</v>
      </c>
      <c r="C25" s="194"/>
      <c r="D25" s="194"/>
      <c r="E25" s="194"/>
      <c r="F25" s="194"/>
      <c r="G25" s="194"/>
      <c r="H25" s="194"/>
    </row>
    <row r="26" s="181" customFormat="true" ht="18.4" customHeight="true" spans="1:8">
      <c r="A26" s="193" t="s">
        <v>1618</v>
      </c>
      <c r="B26" s="194">
        <f t="shared" si="0"/>
        <v>0</v>
      </c>
      <c r="C26" s="194"/>
      <c r="D26" s="194"/>
      <c r="E26" s="194"/>
      <c r="F26" s="194"/>
      <c r="G26" s="194"/>
      <c r="H26" s="194"/>
    </row>
    <row r="27" s="181" customFormat="true" ht="18.4" customHeight="true" spans="1:8">
      <c r="A27" s="193" t="s">
        <v>1620</v>
      </c>
      <c r="B27" s="194">
        <f t="shared" si="0"/>
        <v>0</v>
      </c>
      <c r="C27" s="194"/>
      <c r="D27" s="194"/>
      <c r="E27" s="194"/>
      <c r="F27" s="194"/>
      <c r="G27" s="194"/>
      <c r="H27" s="194"/>
    </row>
    <row r="28" s="181" customFormat="true" ht="18.4" customHeight="true" spans="1:8">
      <c r="A28" s="193" t="s">
        <v>196</v>
      </c>
      <c r="B28" s="194">
        <f t="shared" si="0"/>
        <v>0</v>
      </c>
      <c r="C28" s="194">
        <f t="shared" ref="C28:H28" si="5">SUM(C29:C33)</f>
        <v>0</v>
      </c>
      <c r="D28" s="194">
        <f t="shared" si="5"/>
        <v>0</v>
      </c>
      <c r="E28" s="194">
        <f t="shared" si="5"/>
        <v>0</v>
      </c>
      <c r="F28" s="194">
        <f t="shared" si="5"/>
        <v>0</v>
      </c>
      <c r="G28" s="194">
        <f t="shared" si="5"/>
        <v>0</v>
      </c>
      <c r="H28" s="194">
        <f t="shared" si="5"/>
        <v>0</v>
      </c>
    </row>
    <row r="29" s="181" customFormat="true" ht="18.4" customHeight="true" spans="1:8">
      <c r="A29" s="193" t="s">
        <v>1622</v>
      </c>
      <c r="B29" s="194">
        <f t="shared" si="0"/>
        <v>0</v>
      </c>
      <c r="C29" s="194"/>
      <c r="D29" s="194"/>
      <c r="E29" s="194"/>
      <c r="F29" s="194"/>
      <c r="G29" s="194"/>
      <c r="H29" s="194"/>
    </row>
    <row r="30" s="181" customFormat="true" ht="18.4" customHeight="true" spans="1:8">
      <c r="A30" s="196" t="s">
        <v>1626</v>
      </c>
      <c r="B30" s="194">
        <f t="shared" si="0"/>
        <v>0</v>
      </c>
      <c r="C30" s="194"/>
      <c r="D30" s="194"/>
      <c r="E30" s="194"/>
      <c r="F30" s="194"/>
      <c r="G30" s="194"/>
      <c r="H30" s="194"/>
    </row>
    <row r="31" s="181" customFormat="true" ht="18.4" customHeight="true" spans="1:8">
      <c r="A31" s="196" t="s">
        <v>1629</v>
      </c>
      <c r="B31" s="194">
        <f t="shared" si="0"/>
        <v>0</v>
      </c>
      <c r="C31" s="194"/>
      <c r="D31" s="194"/>
      <c r="E31" s="194"/>
      <c r="F31" s="194"/>
      <c r="G31" s="194"/>
      <c r="H31" s="194"/>
    </row>
    <row r="32" s="181" customFormat="true" ht="18.4" customHeight="true" spans="1:8">
      <c r="A32" s="197" t="s">
        <v>1760</v>
      </c>
      <c r="B32" s="194">
        <f t="shared" si="0"/>
        <v>0</v>
      </c>
      <c r="C32" s="194"/>
      <c r="D32" s="194"/>
      <c r="E32" s="194"/>
      <c r="F32" s="194"/>
      <c r="G32" s="194"/>
      <c r="H32" s="194"/>
    </row>
    <row r="33" s="181" customFormat="true" ht="18.4" customHeight="true" spans="1:8">
      <c r="A33" s="197" t="s">
        <v>1761</v>
      </c>
      <c r="B33" s="194">
        <f t="shared" si="0"/>
        <v>0</v>
      </c>
      <c r="C33" s="194"/>
      <c r="D33" s="194"/>
      <c r="E33" s="194"/>
      <c r="F33" s="194"/>
      <c r="G33" s="194"/>
      <c r="H33" s="194"/>
    </row>
    <row r="34" s="181" customFormat="true" ht="18.4" customHeight="true" spans="1:8">
      <c r="A34" s="195" t="s">
        <v>197</v>
      </c>
      <c r="B34" s="194">
        <f t="shared" si="0"/>
        <v>0</v>
      </c>
      <c r="C34" s="194">
        <f t="shared" ref="C34:H34" si="6">SUM(C35:C42)</f>
        <v>0</v>
      </c>
      <c r="D34" s="194">
        <f t="shared" si="6"/>
        <v>0</v>
      </c>
      <c r="E34" s="194">
        <f t="shared" si="6"/>
        <v>0</v>
      </c>
      <c r="F34" s="194">
        <f t="shared" si="6"/>
        <v>0</v>
      </c>
      <c r="G34" s="194">
        <f t="shared" si="6"/>
        <v>0</v>
      </c>
      <c r="H34" s="194">
        <f t="shared" si="6"/>
        <v>0</v>
      </c>
    </row>
    <row r="35" s="181" customFormat="true" ht="18.4" customHeight="true" spans="1:8">
      <c r="A35" s="196" t="s">
        <v>1633</v>
      </c>
      <c r="B35" s="194">
        <f t="shared" si="0"/>
        <v>0</v>
      </c>
      <c r="C35" s="194"/>
      <c r="D35" s="194"/>
      <c r="E35" s="194"/>
      <c r="F35" s="194"/>
      <c r="G35" s="194"/>
      <c r="H35" s="194"/>
    </row>
    <row r="36" s="181" customFormat="true" ht="18.4" customHeight="true" spans="1:8">
      <c r="A36" s="196" t="s">
        <v>1636</v>
      </c>
      <c r="B36" s="194">
        <f t="shared" si="0"/>
        <v>0</v>
      </c>
      <c r="C36" s="194"/>
      <c r="D36" s="194"/>
      <c r="E36" s="194"/>
      <c r="F36" s="194"/>
      <c r="G36" s="194"/>
      <c r="H36" s="194"/>
    </row>
    <row r="37" s="181" customFormat="true" ht="18.4" customHeight="true" spans="1:8">
      <c r="A37" s="196" t="s">
        <v>1640</v>
      </c>
      <c r="B37" s="194">
        <f t="shared" si="0"/>
        <v>0</v>
      </c>
      <c r="C37" s="194"/>
      <c r="D37" s="194"/>
      <c r="E37" s="194"/>
      <c r="F37" s="194"/>
      <c r="G37" s="194"/>
      <c r="H37" s="194"/>
    </row>
    <row r="38" s="181" customFormat="true" ht="18.4" customHeight="true" spans="1:8">
      <c r="A38" s="196" t="s">
        <v>1649</v>
      </c>
      <c r="B38" s="194">
        <f t="shared" si="0"/>
        <v>0</v>
      </c>
      <c r="C38" s="194"/>
      <c r="D38" s="194"/>
      <c r="E38" s="194"/>
      <c r="F38" s="194"/>
      <c r="G38" s="194"/>
      <c r="H38" s="194"/>
    </row>
    <row r="39" s="181" customFormat="true" ht="18.4" customHeight="true" spans="1:8">
      <c r="A39" s="196" t="s">
        <v>1656</v>
      </c>
      <c r="B39" s="194">
        <f t="shared" si="0"/>
        <v>0</v>
      </c>
      <c r="C39" s="194"/>
      <c r="D39" s="194"/>
      <c r="E39" s="194"/>
      <c r="F39" s="194"/>
      <c r="G39" s="194"/>
      <c r="H39" s="194"/>
    </row>
    <row r="40" s="181" customFormat="true" ht="18.4" customHeight="true" spans="1:8">
      <c r="A40" s="196" t="s">
        <v>1665</v>
      </c>
      <c r="B40" s="194">
        <f t="shared" si="0"/>
        <v>0</v>
      </c>
      <c r="C40" s="194"/>
      <c r="D40" s="194"/>
      <c r="E40" s="194"/>
      <c r="F40" s="194"/>
      <c r="G40" s="194"/>
      <c r="H40" s="194"/>
    </row>
    <row r="41" s="181" customFormat="true" ht="18.4" customHeight="true" spans="1:8">
      <c r="A41" s="196" t="s">
        <v>1667</v>
      </c>
      <c r="B41" s="194">
        <f t="shared" si="0"/>
        <v>0</v>
      </c>
      <c r="C41" s="194"/>
      <c r="D41" s="194"/>
      <c r="E41" s="194"/>
      <c r="F41" s="194"/>
      <c r="G41" s="194"/>
      <c r="H41" s="194"/>
    </row>
    <row r="42" s="181" customFormat="true" ht="18.4" customHeight="true" spans="1:8">
      <c r="A42" s="196" t="s">
        <v>1669</v>
      </c>
      <c r="B42" s="194">
        <f t="shared" si="0"/>
        <v>0</v>
      </c>
      <c r="C42" s="194"/>
      <c r="D42" s="194"/>
      <c r="E42" s="194"/>
      <c r="F42" s="194"/>
      <c r="G42" s="194"/>
      <c r="H42" s="194"/>
    </row>
    <row r="43" s="181" customFormat="true" ht="18.4" customHeight="true" spans="1:8">
      <c r="A43" s="195" t="s">
        <v>198</v>
      </c>
      <c r="B43" s="194">
        <f t="shared" si="0"/>
        <v>0</v>
      </c>
      <c r="C43" s="194">
        <f t="shared" ref="C43:H43" si="7">C44</f>
        <v>0</v>
      </c>
      <c r="D43" s="194">
        <f t="shared" si="7"/>
        <v>0</v>
      </c>
      <c r="E43" s="194">
        <f t="shared" si="7"/>
        <v>0</v>
      </c>
      <c r="F43" s="194">
        <f t="shared" si="7"/>
        <v>0</v>
      </c>
      <c r="G43" s="194">
        <f t="shared" si="7"/>
        <v>0</v>
      </c>
      <c r="H43" s="194">
        <f t="shared" si="7"/>
        <v>0</v>
      </c>
    </row>
    <row r="44" s="181" customFormat="true" ht="18.4" customHeight="true" spans="1:8">
      <c r="A44" s="196" t="s">
        <v>1670</v>
      </c>
      <c r="B44" s="194">
        <f t="shared" si="0"/>
        <v>0</v>
      </c>
      <c r="C44" s="194"/>
      <c r="D44" s="194"/>
      <c r="E44" s="194"/>
      <c r="F44" s="194"/>
      <c r="G44" s="194"/>
      <c r="H44" s="194"/>
    </row>
    <row r="45" s="181" customFormat="true" ht="18.4" customHeight="true" spans="1:8">
      <c r="A45" s="195" t="s">
        <v>199</v>
      </c>
      <c r="B45" s="194">
        <f t="shared" si="0"/>
        <v>4624</v>
      </c>
      <c r="C45" s="194">
        <f t="shared" ref="C45:H45" si="8">SUM(C46:C48)</f>
        <v>0</v>
      </c>
      <c r="D45" s="194">
        <f t="shared" si="8"/>
        <v>345</v>
      </c>
      <c r="E45" s="194">
        <f t="shared" si="8"/>
        <v>4279</v>
      </c>
      <c r="F45" s="194">
        <f t="shared" si="8"/>
        <v>0</v>
      </c>
      <c r="G45" s="194">
        <f t="shared" si="8"/>
        <v>0</v>
      </c>
      <c r="H45" s="194">
        <f t="shared" si="8"/>
        <v>0</v>
      </c>
    </row>
    <row r="46" s="181" customFormat="true" ht="18.4" customHeight="true" spans="1:8">
      <c r="A46" s="196" t="s">
        <v>1673</v>
      </c>
      <c r="B46" s="194">
        <f t="shared" si="0"/>
        <v>0</v>
      </c>
      <c r="C46" s="194"/>
      <c r="D46" s="194"/>
      <c r="E46" s="194"/>
      <c r="F46" s="194"/>
      <c r="G46" s="194"/>
      <c r="H46" s="194"/>
    </row>
    <row r="47" s="181" customFormat="true" ht="18.4" customHeight="true" spans="1:8">
      <c r="A47" s="196" t="s">
        <v>1677</v>
      </c>
      <c r="B47" s="194">
        <f t="shared" si="0"/>
        <v>0</v>
      </c>
      <c r="C47" s="194"/>
      <c r="D47" s="194"/>
      <c r="E47" s="194"/>
      <c r="F47" s="194"/>
      <c r="G47" s="194"/>
      <c r="H47" s="194"/>
    </row>
    <row r="48" s="181" customFormat="true" ht="18.4" customHeight="true" spans="1:8">
      <c r="A48" s="196" t="s">
        <v>1687</v>
      </c>
      <c r="B48" s="194">
        <f t="shared" si="0"/>
        <v>4624</v>
      </c>
      <c r="C48" s="194"/>
      <c r="D48" s="194">
        <f>33+238+74</f>
        <v>345</v>
      </c>
      <c r="E48" s="194">
        <v>4279</v>
      </c>
      <c r="F48" s="194"/>
      <c r="G48" s="194"/>
      <c r="H48" s="194"/>
    </row>
    <row r="49" s="181" customFormat="true" ht="18.4" customHeight="true" spans="1:8">
      <c r="A49" s="195" t="s">
        <v>200</v>
      </c>
      <c r="B49" s="194">
        <f t="shared" si="0"/>
        <v>66437</v>
      </c>
      <c r="C49" s="194">
        <v>66437</v>
      </c>
      <c r="D49" s="194"/>
      <c r="E49" s="194"/>
      <c r="F49" s="194"/>
      <c r="G49" s="194"/>
      <c r="H49" s="194"/>
    </row>
    <row r="50" s="181" customFormat="true" ht="18.4" customHeight="true" spans="1:8">
      <c r="A50" s="195" t="s">
        <v>1713</v>
      </c>
      <c r="B50" s="194">
        <f t="shared" si="0"/>
        <v>0</v>
      </c>
      <c r="C50" s="194"/>
      <c r="D50" s="194"/>
      <c r="E50" s="194"/>
      <c r="F50" s="194"/>
      <c r="G50" s="194"/>
      <c r="H50" s="194"/>
    </row>
    <row r="51" s="181" customFormat="true" ht="18.4" customHeight="true" spans="1:8">
      <c r="A51" s="198" t="s">
        <v>1729</v>
      </c>
      <c r="B51" s="194">
        <f t="shared" si="0"/>
        <v>0</v>
      </c>
      <c r="C51" s="194"/>
      <c r="D51" s="194"/>
      <c r="E51" s="194"/>
      <c r="F51" s="194"/>
      <c r="G51" s="194"/>
      <c r="H51" s="194"/>
    </row>
    <row r="52" s="181" customFormat="true" ht="20.1" customHeight="true" spans="1:8">
      <c r="A52" s="198"/>
      <c r="B52" s="194">
        <f t="shared" si="0"/>
        <v>0</v>
      </c>
      <c r="C52" s="194"/>
      <c r="D52" s="194"/>
      <c r="E52" s="194"/>
      <c r="F52" s="194"/>
      <c r="G52" s="194"/>
      <c r="H52" s="194"/>
    </row>
    <row r="53" s="181" customFormat="true" ht="20.1" customHeight="true" spans="1:8">
      <c r="A53" s="198"/>
      <c r="B53" s="194">
        <f t="shared" si="0"/>
        <v>0</v>
      </c>
      <c r="C53" s="194"/>
      <c r="D53" s="194"/>
      <c r="E53" s="194"/>
      <c r="F53" s="194"/>
      <c r="G53" s="194"/>
      <c r="H53" s="194"/>
    </row>
    <row r="54" s="181" customFormat="true" ht="20.1" customHeight="true" spans="1:8">
      <c r="A54" s="199" t="s">
        <v>68</v>
      </c>
      <c r="B54" s="194">
        <f t="shared" ref="B54:H54" si="9">B6+B10+B14+B17+B28+B34+B43+B45+B49+B50+B51</f>
        <v>75807</v>
      </c>
      <c r="C54" s="194">
        <f t="shared" si="9"/>
        <v>70900</v>
      </c>
      <c r="D54" s="194">
        <f t="shared" si="9"/>
        <v>345</v>
      </c>
      <c r="E54" s="194">
        <f t="shared" si="9"/>
        <v>4562</v>
      </c>
      <c r="F54" s="194">
        <f t="shared" si="9"/>
        <v>0</v>
      </c>
      <c r="G54" s="194">
        <f t="shared" si="9"/>
        <v>0</v>
      </c>
      <c r="H54" s="194">
        <f t="shared" si="9"/>
        <v>0</v>
      </c>
    </row>
    <row r="55" s="181" customFormat="true" ht="20.1" customHeight="true" spans="2:8">
      <c r="B55" s="184"/>
      <c r="C55" s="184"/>
      <c r="D55" s="184"/>
      <c r="E55" s="184"/>
      <c r="F55" s="184"/>
      <c r="G55" s="184"/>
      <c r="H55" s="184"/>
    </row>
  </sheetData>
  <mergeCells count="9">
    <mergeCell ref="A2:H2"/>
    <mergeCell ref="A4:A5"/>
    <mergeCell ref="B4:B5"/>
    <mergeCell ref="C4:C5"/>
    <mergeCell ref="D4:D5"/>
    <mergeCell ref="E4:E5"/>
    <mergeCell ref="F4:F5"/>
    <mergeCell ref="G4:G5"/>
    <mergeCell ref="H4:H5"/>
  </mergeCells>
  <printOptions horizontalCentered="true"/>
  <pageMargins left="0.47" right="0.47" top="0.59" bottom="0.47" header="0.31" footer="0.31"/>
  <pageSetup paperSize="9" scale="8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GridLines="0" zoomScale="130" zoomScaleNormal="130" workbookViewId="0">
      <selection activeCell="A2" sqref="A2:I2"/>
    </sheetView>
  </sheetViews>
  <sheetFormatPr defaultColWidth="8" defaultRowHeight="13.5"/>
  <cols>
    <col min="1" max="1" width="15.375" style="168" customWidth="true"/>
    <col min="2" max="2" width="26.5" style="168" customWidth="true"/>
    <col min="3" max="5" width="11.125" style="168" customWidth="true"/>
    <col min="6" max="9" width="8" style="168" customWidth="true"/>
    <col min="10" max="16384" width="8" style="168"/>
  </cols>
  <sheetData>
    <row r="1" spans="1:1">
      <c r="A1" s="169" t="s">
        <v>1762</v>
      </c>
    </row>
    <row r="2" ht="32.25" customHeight="true" spans="1:9">
      <c r="A2" s="170" t="s">
        <v>1763</v>
      </c>
      <c r="B2" s="170"/>
      <c r="C2" s="170"/>
      <c r="D2" s="170"/>
      <c r="E2" s="170"/>
      <c r="F2" s="170"/>
      <c r="G2" s="170"/>
      <c r="H2" s="170"/>
      <c r="I2" s="170"/>
    </row>
    <row r="3" ht="24.75" customHeight="true" spans="1:9">
      <c r="A3" s="171" t="s">
        <v>1347</v>
      </c>
      <c r="B3" s="172"/>
      <c r="C3" s="172"/>
      <c r="D3" s="172"/>
      <c r="E3" s="172"/>
      <c r="F3" s="172"/>
      <c r="G3" s="172"/>
      <c r="H3" s="172"/>
      <c r="I3" s="180"/>
    </row>
    <row r="4" ht="14.25" customHeight="true" spans="1:9">
      <c r="A4" s="173" t="s">
        <v>1348</v>
      </c>
      <c r="B4" s="173" t="s">
        <v>1349</v>
      </c>
      <c r="C4" s="173" t="s">
        <v>1312</v>
      </c>
      <c r="D4" s="173" t="s">
        <v>1764</v>
      </c>
      <c r="E4" s="173"/>
      <c r="F4" s="173"/>
      <c r="G4" s="173" t="s">
        <v>1765</v>
      </c>
      <c r="H4" s="173"/>
      <c r="I4" s="173"/>
    </row>
    <row r="5" ht="14.25" customHeight="true" spans="1:9">
      <c r="A5" s="174"/>
      <c r="B5" s="174"/>
      <c r="C5" s="173"/>
      <c r="D5" s="173" t="s">
        <v>1503</v>
      </c>
      <c r="E5" s="173" t="s">
        <v>1350</v>
      </c>
      <c r="F5" s="173" t="s">
        <v>1352</v>
      </c>
      <c r="G5" s="173" t="s">
        <v>1503</v>
      </c>
      <c r="H5" s="173" t="s">
        <v>1350</v>
      </c>
      <c r="I5" s="173" t="s">
        <v>1352</v>
      </c>
    </row>
    <row r="6" ht="20.25" customHeight="true" spans="1:9">
      <c r="A6" s="174"/>
      <c r="B6" s="174"/>
      <c r="C6" s="173"/>
      <c r="D6" s="173"/>
      <c r="E6" s="173"/>
      <c r="F6" s="173"/>
      <c r="G6" s="173"/>
      <c r="H6" s="173"/>
      <c r="I6" s="173"/>
    </row>
    <row r="7" ht="20.25" customHeight="true" spans="1:9">
      <c r="A7" s="174"/>
      <c r="B7" s="174"/>
      <c r="C7" s="173"/>
      <c r="D7" s="174"/>
      <c r="E7" s="179"/>
      <c r="F7" s="179"/>
      <c r="G7" s="174"/>
      <c r="H7" s="179"/>
      <c r="I7" s="179"/>
    </row>
    <row r="8" ht="29" customHeight="true" spans="1:9">
      <c r="A8" s="175"/>
      <c r="B8" s="175" t="s">
        <v>1312</v>
      </c>
      <c r="C8" s="176">
        <f>C9+C12+C15+C17+C19+C23+C25+C27+C21</f>
        <v>75807</v>
      </c>
      <c r="D8" s="176">
        <f>D9+D12+D15+D17+D19+D23+D25+D27+D21</f>
        <v>75807</v>
      </c>
      <c r="E8" s="176">
        <f>E9+E12+E15+E17+E19+E23+E25+E27+E21</f>
        <v>75462</v>
      </c>
      <c r="F8" s="176">
        <f>F9+F12+F15+F17+F19+F23+F25+F27+F21</f>
        <v>345</v>
      </c>
      <c r="G8" s="176"/>
      <c r="H8" s="176"/>
      <c r="I8" s="176"/>
    </row>
    <row r="9" ht="29" customHeight="true" spans="1:9">
      <c r="A9" s="175" t="s">
        <v>1766</v>
      </c>
      <c r="B9" s="175" t="s">
        <v>1767</v>
      </c>
      <c r="C9" s="176">
        <f>C10+C11</f>
        <v>1520</v>
      </c>
      <c r="D9" s="176">
        <f>D10+D11</f>
        <v>1520</v>
      </c>
      <c r="E9" s="176">
        <f>E10+E11</f>
        <v>1520</v>
      </c>
      <c r="F9" s="176"/>
      <c r="G9" s="176"/>
      <c r="H9" s="176"/>
      <c r="I9" s="176"/>
    </row>
    <row r="10" ht="29" customHeight="true" spans="1:9">
      <c r="A10" s="177" t="s">
        <v>1365</v>
      </c>
      <c r="B10" s="177" t="s">
        <v>1366</v>
      </c>
      <c r="C10" s="178">
        <f>D10+G10</f>
        <v>1317</v>
      </c>
      <c r="D10" s="178">
        <f>E10</f>
        <v>1317</v>
      </c>
      <c r="E10" s="178">
        <f>417+900</f>
        <v>1317</v>
      </c>
      <c r="F10" s="178"/>
      <c r="G10" s="178"/>
      <c r="H10" s="178"/>
      <c r="I10" s="178"/>
    </row>
    <row r="11" ht="29" customHeight="true" spans="1:9">
      <c r="A11" s="177" t="s">
        <v>1373</v>
      </c>
      <c r="B11" s="177" t="s">
        <v>1374</v>
      </c>
      <c r="C11" s="178">
        <f>D11+G11</f>
        <v>203</v>
      </c>
      <c r="D11" s="178">
        <f t="shared" ref="D11:D28" si="0">E11</f>
        <v>203</v>
      </c>
      <c r="E11" s="178">
        <v>203</v>
      </c>
      <c r="F11" s="178"/>
      <c r="G11" s="178"/>
      <c r="H11" s="178"/>
      <c r="I11" s="178"/>
    </row>
    <row r="12" ht="29" customHeight="true" spans="1:9">
      <c r="A12" s="175" t="s">
        <v>1768</v>
      </c>
      <c r="B12" s="175" t="s">
        <v>1769</v>
      </c>
      <c r="C12" s="176">
        <f>C13+C14</f>
        <v>8295</v>
      </c>
      <c r="D12" s="176">
        <f>D13+D14</f>
        <v>8295</v>
      </c>
      <c r="E12" s="176">
        <f>E13+E14</f>
        <v>8295</v>
      </c>
      <c r="F12" s="176"/>
      <c r="G12" s="176"/>
      <c r="H12" s="176"/>
      <c r="I12" s="176"/>
    </row>
    <row r="13" ht="29" customHeight="true" spans="1:9">
      <c r="A13" s="177" t="s">
        <v>1385</v>
      </c>
      <c r="B13" s="177" t="s">
        <v>1386</v>
      </c>
      <c r="C13" s="178">
        <f>D13+G13</f>
        <v>7295</v>
      </c>
      <c r="D13" s="178">
        <f t="shared" si="0"/>
        <v>7295</v>
      </c>
      <c r="E13" s="178">
        <v>7295</v>
      </c>
      <c r="F13" s="178"/>
      <c r="G13" s="178"/>
      <c r="H13" s="178"/>
      <c r="I13" s="178"/>
    </row>
    <row r="14" ht="29" customHeight="true" spans="1:9">
      <c r="A14" s="177" t="s">
        <v>1770</v>
      </c>
      <c r="B14" s="177" t="s">
        <v>1771</v>
      </c>
      <c r="C14" s="178">
        <f>D14+G14</f>
        <v>1000</v>
      </c>
      <c r="D14" s="178">
        <f t="shared" si="0"/>
        <v>1000</v>
      </c>
      <c r="E14" s="178">
        <v>1000</v>
      </c>
      <c r="F14" s="178"/>
      <c r="G14" s="178"/>
      <c r="H14" s="178"/>
      <c r="I14" s="178"/>
    </row>
    <row r="15" ht="29" customHeight="true" spans="1:9">
      <c r="A15" s="175" t="s">
        <v>1772</v>
      </c>
      <c r="B15" s="175" t="s">
        <v>1773</v>
      </c>
      <c r="C15" s="176">
        <f>C16</f>
        <v>959</v>
      </c>
      <c r="D15" s="176">
        <f>D16</f>
        <v>959</v>
      </c>
      <c r="E15" s="176">
        <f>E16</f>
        <v>959</v>
      </c>
      <c r="F15" s="176"/>
      <c r="G15" s="176"/>
      <c r="H15" s="176"/>
      <c r="I15" s="176"/>
    </row>
    <row r="16" ht="29" customHeight="true" spans="1:9">
      <c r="A16" s="177" t="s">
        <v>1395</v>
      </c>
      <c r="B16" s="177" t="s">
        <v>1386</v>
      </c>
      <c r="C16" s="178">
        <f>D16+G16</f>
        <v>959</v>
      </c>
      <c r="D16" s="178">
        <f t="shared" si="0"/>
        <v>959</v>
      </c>
      <c r="E16" s="178">
        <v>959</v>
      </c>
      <c r="F16" s="178"/>
      <c r="G16" s="178"/>
      <c r="H16" s="178"/>
      <c r="I16" s="178"/>
    </row>
    <row r="17" ht="29" customHeight="true" spans="1:9">
      <c r="A17" s="175" t="s">
        <v>1774</v>
      </c>
      <c r="B17" s="175" t="s">
        <v>1775</v>
      </c>
      <c r="C17" s="176">
        <f>C18</f>
        <v>5</v>
      </c>
      <c r="D17" s="176">
        <f>D18</f>
        <v>5</v>
      </c>
      <c r="E17" s="176">
        <f>E18</f>
        <v>5</v>
      </c>
      <c r="F17" s="176"/>
      <c r="G17" s="176"/>
      <c r="H17" s="176"/>
      <c r="I17" s="176"/>
    </row>
    <row r="18" ht="29" customHeight="true" spans="1:9">
      <c r="A18" s="177" t="s">
        <v>1401</v>
      </c>
      <c r="B18" s="177" t="s">
        <v>1402</v>
      </c>
      <c r="C18" s="178">
        <f>D18+G18</f>
        <v>5</v>
      </c>
      <c r="D18" s="178">
        <f t="shared" si="0"/>
        <v>5</v>
      </c>
      <c r="E18" s="178">
        <v>5</v>
      </c>
      <c r="F18" s="178"/>
      <c r="G18" s="178"/>
      <c r="H18" s="178"/>
      <c r="I18" s="178"/>
    </row>
    <row r="19" ht="29" customHeight="true" spans="1:9">
      <c r="A19" s="175" t="s">
        <v>1776</v>
      </c>
      <c r="B19" s="175" t="s">
        <v>1777</v>
      </c>
      <c r="C19" s="176">
        <f>C20</f>
        <v>800</v>
      </c>
      <c r="D19" s="176">
        <f>D20</f>
        <v>800</v>
      </c>
      <c r="E19" s="176">
        <f>E20</f>
        <v>800</v>
      </c>
      <c r="F19" s="176"/>
      <c r="G19" s="176"/>
      <c r="H19" s="176"/>
      <c r="I19" s="176"/>
    </row>
    <row r="20" ht="28" customHeight="true" spans="1:9">
      <c r="A20" s="177" t="s">
        <v>1411</v>
      </c>
      <c r="B20" s="177" t="s">
        <v>1412</v>
      </c>
      <c r="C20" s="178">
        <f>D20+G20</f>
        <v>800</v>
      </c>
      <c r="D20" s="178">
        <f t="shared" si="0"/>
        <v>800</v>
      </c>
      <c r="E20" s="178">
        <v>800</v>
      </c>
      <c r="F20" s="178"/>
      <c r="G20" s="178"/>
      <c r="H20" s="178"/>
      <c r="I20" s="178"/>
    </row>
    <row r="21" ht="28" customHeight="true" spans="1:9">
      <c r="A21" s="175" t="s">
        <v>1778</v>
      </c>
      <c r="B21" s="175" t="s">
        <v>1779</v>
      </c>
      <c r="C21" s="176">
        <f>C22</f>
        <v>180</v>
      </c>
      <c r="D21" s="176">
        <f>D22</f>
        <v>180</v>
      </c>
      <c r="E21" s="176">
        <f>E22</f>
        <v>180</v>
      </c>
      <c r="F21" s="176"/>
      <c r="G21" s="176"/>
      <c r="H21" s="176"/>
      <c r="I21" s="176"/>
    </row>
    <row r="22" ht="28" customHeight="true" spans="1:9">
      <c r="A22" s="177" t="s">
        <v>1421</v>
      </c>
      <c r="B22" s="177" t="s">
        <v>1780</v>
      </c>
      <c r="C22" s="178">
        <f>D22+G22</f>
        <v>180</v>
      </c>
      <c r="D22" s="178">
        <f t="shared" si="0"/>
        <v>180</v>
      </c>
      <c r="E22" s="178">
        <v>180</v>
      </c>
      <c r="F22" s="178"/>
      <c r="G22" s="178"/>
      <c r="H22" s="178"/>
      <c r="I22" s="178"/>
    </row>
    <row r="23" ht="28" customHeight="true" spans="1:9">
      <c r="A23" s="175" t="s">
        <v>1781</v>
      </c>
      <c r="B23" s="175" t="s">
        <v>1782</v>
      </c>
      <c r="C23" s="176">
        <f>C24</f>
        <v>27546</v>
      </c>
      <c r="D23" s="176">
        <f>D24</f>
        <v>27546</v>
      </c>
      <c r="E23" s="176">
        <f>E24</f>
        <v>27546</v>
      </c>
      <c r="F23" s="176"/>
      <c r="G23" s="176"/>
      <c r="H23" s="176"/>
      <c r="I23" s="176"/>
    </row>
    <row r="24" ht="28" customHeight="true" spans="1:9">
      <c r="A24" s="177" t="s">
        <v>1425</v>
      </c>
      <c r="B24" s="177" t="s">
        <v>1426</v>
      </c>
      <c r="C24" s="178">
        <f>D24+G24</f>
        <v>27546</v>
      </c>
      <c r="D24" s="178">
        <f t="shared" si="0"/>
        <v>27546</v>
      </c>
      <c r="E24" s="178">
        <v>27546</v>
      </c>
      <c r="F24" s="178"/>
      <c r="G24" s="178"/>
      <c r="H24" s="178"/>
      <c r="I24" s="178"/>
    </row>
    <row r="25" ht="28" customHeight="true" spans="1:9">
      <c r="A25" s="175" t="s">
        <v>1783</v>
      </c>
      <c r="B25" s="175" t="s">
        <v>1784</v>
      </c>
      <c r="C25" s="176">
        <f>C26</f>
        <v>31595</v>
      </c>
      <c r="D25" s="176">
        <f>D26</f>
        <v>31595</v>
      </c>
      <c r="E25" s="176">
        <f>E26</f>
        <v>31595</v>
      </c>
      <c r="F25" s="176"/>
      <c r="G25" s="176"/>
      <c r="H25" s="176"/>
      <c r="I25" s="176"/>
    </row>
    <row r="26" ht="28" customHeight="true" spans="1:9">
      <c r="A26" s="177" t="s">
        <v>1785</v>
      </c>
      <c r="B26" s="177" t="s">
        <v>1786</v>
      </c>
      <c r="C26" s="178">
        <f>D26+G26</f>
        <v>31595</v>
      </c>
      <c r="D26" s="178">
        <f t="shared" si="0"/>
        <v>31595</v>
      </c>
      <c r="E26" s="178">
        <v>31595</v>
      </c>
      <c r="F26" s="178"/>
      <c r="G26" s="178"/>
      <c r="H26" s="178"/>
      <c r="I26" s="178"/>
    </row>
    <row r="27" ht="28" customHeight="true" spans="1:9">
      <c r="A27" s="175" t="s">
        <v>1787</v>
      </c>
      <c r="B27" s="175" t="s">
        <v>1276</v>
      </c>
      <c r="C27" s="176">
        <f>C28</f>
        <v>4907</v>
      </c>
      <c r="D27" s="176">
        <f>D28</f>
        <v>4907</v>
      </c>
      <c r="E27" s="176">
        <f>E28</f>
        <v>4562</v>
      </c>
      <c r="F27" s="176">
        <f>F28</f>
        <v>345</v>
      </c>
      <c r="G27" s="176"/>
      <c r="H27" s="176"/>
      <c r="I27" s="176"/>
    </row>
    <row r="28" ht="28" customHeight="true" spans="1:9">
      <c r="A28" s="177" t="s">
        <v>1428</v>
      </c>
      <c r="B28" s="177" t="s">
        <v>1429</v>
      </c>
      <c r="C28" s="178">
        <f>D28+G28</f>
        <v>4907</v>
      </c>
      <c r="D28" s="178">
        <f>E28+F28</f>
        <v>4907</v>
      </c>
      <c r="E28" s="178">
        <v>4562</v>
      </c>
      <c r="F28" s="178">
        <v>345</v>
      </c>
      <c r="G28" s="178"/>
      <c r="H28" s="178"/>
      <c r="I28" s="178"/>
    </row>
  </sheetData>
  <mergeCells count="13">
    <mergeCell ref="A2:I2"/>
    <mergeCell ref="A3:I3"/>
    <mergeCell ref="D4:F4"/>
    <mergeCell ref="G4:I4"/>
    <mergeCell ref="A4:A7"/>
    <mergeCell ref="B4:B7"/>
    <mergeCell ref="C4:C7"/>
    <mergeCell ref="D5:D7"/>
    <mergeCell ref="E5:E7"/>
    <mergeCell ref="F5:F7"/>
    <mergeCell ref="G5:G7"/>
    <mergeCell ref="H5:H7"/>
    <mergeCell ref="I5:I7"/>
  </mergeCells>
  <pageMargins left="0.75" right="0.75" top="1" bottom="1" header="0.5" footer="0.5"/>
  <pageSetup paperSize="1"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6"/>
  <sheetViews>
    <sheetView showGridLines="0" showZeros="0" zoomScale="130" zoomScaleNormal="130" workbookViewId="0">
      <selection activeCell="A1" sqref="A1"/>
    </sheetView>
  </sheetViews>
  <sheetFormatPr defaultColWidth="9" defaultRowHeight="14.25"/>
  <cols>
    <col min="1" max="1" width="32.8" style="130" customWidth="true"/>
    <col min="2" max="2" width="17.5" style="130" customWidth="true"/>
    <col min="3" max="3" width="35.8333333333333" style="130" customWidth="true"/>
    <col min="4" max="4" width="17.3333333333333" style="130" customWidth="true"/>
    <col min="5" max="242" width="9" style="130" customWidth="true"/>
    <col min="243" max="254" width="9" style="161" customWidth="true"/>
    <col min="255" max="16384" width="9" style="127"/>
  </cols>
  <sheetData>
    <row r="1" ht="25" customHeight="true" spans="1:1">
      <c r="A1" s="98" t="s">
        <v>1788</v>
      </c>
    </row>
    <row r="2" ht="30" customHeight="true" spans="1:4">
      <c r="A2" s="160" t="s">
        <v>1789</v>
      </c>
      <c r="B2" s="160"/>
      <c r="C2" s="160"/>
      <c r="D2" s="160"/>
    </row>
    <row r="3" ht="32.1" customHeight="true" spans="4:4">
      <c r="D3" s="130" t="s">
        <v>3</v>
      </c>
    </row>
    <row r="4" ht="29.1" customHeight="true" spans="1:4">
      <c r="A4" s="162" t="s">
        <v>221</v>
      </c>
      <c r="B4" s="162"/>
      <c r="C4" s="162" t="s">
        <v>222</v>
      </c>
      <c r="D4" s="162"/>
    </row>
    <row r="5" ht="29.1" customHeight="true" spans="1:4">
      <c r="A5" s="163" t="s">
        <v>223</v>
      </c>
      <c r="B5" s="163" t="s">
        <v>6</v>
      </c>
      <c r="C5" s="163" t="s">
        <v>223</v>
      </c>
      <c r="D5" s="163" t="s">
        <v>6</v>
      </c>
    </row>
    <row r="6" s="127" customFormat="true" ht="29.1" customHeight="true" spans="1:254">
      <c r="A6" s="164" t="s">
        <v>224</v>
      </c>
      <c r="B6" s="164">
        <v>235</v>
      </c>
      <c r="C6" s="164" t="s">
        <v>225</v>
      </c>
      <c r="D6" s="164"/>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row>
    <row r="7" s="127" customFormat="true" ht="29.1" customHeight="true" spans="1:254">
      <c r="A7" s="164" t="s">
        <v>226</v>
      </c>
      <c r="B7" s="164"/>
      <c r="C7" s="164" t="s">
        <v>227</v>
      </c>
      <c r="D7" s="164"/>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c r="IF7" s="161"/>
      <c r="IG7" s="161"/>
      <c r="IH7" s="161"/>
      <c r="II7" s="161"/>
      <c r="IJ7" s="161"/>
      <c r="IK7" s="161"/>
      <c r="IL7" s="161"/>
      <c r="IM7" s="161"/>
      <c r="IN7" s="161"/>
      <c r="IO7" s="161"/>
      <c r="IP7" s="161"/>
      <c r="IQ7" s="161"/>
      <c r="IR7" s="161"/>
      <c r="IS7" s="161"/>
      <c r="IT7" s="161"/>
    </row>
    <row r="8" s="127" customFormat="true" ht="29.1" customHeight="true" spans="1:254">
      <c r="A8" s="164" t="s">
        <v>228</v>
      </c>
      <c r="B8" s="164"/>
      <c r="C8" s="164" t="s">
        <v>229</v>
      </c>
      <c r="D8" s="164"/>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161"/>
      <c r="DU8" s="161"/>
      <c r="DV8" s="161"/>
      <c r="DW8" s="161"/>
      <c r="DX8" s="161"/>
      <c r="DY8" s="161"/>
      <c r="DZ8" s="161"/>
      <c r="EA8" s="161"/>
      <c r="EB8" s="161"/>
      <c r="EC8" s="161"/>
      <c r="ED8" s="161"/>
      <c r="EE8" s="161"/>
      <c r="EF8" s="161"/>
      <c r="EG8" s="161"/>
      <c r="EH8" s="161"/>
      <c r="EI8" s="161"/>
      <c r="EJ8" s="161"/>
      <c r="EK8" s="161"/>
      <c r="EL8" s="161"/>
      <c r="EM8" s="161"/>
      <c r="EN8" s="161"/>
      <c r="EO8" s="161"/>
      <c r="EP8" s="161"/>
      <c r="EQ8" s="161"/>
      <c r="ER8" s="161"/>
      <c r="ES8" s="161"/>
      <c r="ET8" s="161"/>
      <c r="EU8" s="161"/>
      <c r="EV8" s="161"/>
      <c r="EW8" s="161"/>
      <c r="EX8" s="161"/>
      <c r="EY8" s="161"/>
      <c r="EZ8" s="161"/>
      <c r="FA8" s="161"/>
      <c r="FB8" s="161"/>
      <c r="FC8" s="161"/>
      <c r="FD8" s="161"/>
      <c r="FE8" s="161"/>
      <c r="FF8" s="161"/>
      <c r="FG8" s="161"/>
      <c r="FH8" s="161"/>
      <c r="FI8" s="161"/>
      <c r="FJ8" s="161"/>
      <c r="FK8" s="161"/>
      <c r="FL8" s="161"/>
      <c r="FM8" s="161"/>
      <c r="FN8" s="161"/>
      <c r="FO8" s="161"/>
      <c r="FP8" s="161"/>
      <c r="FQ8" s="161"/>
      <c r="FR8" s="161"/>
      <c r="FS8" s="161"/>
      <c r="FT8" s="161"/>
      <c r="FU8" s="161"/>
      <c r="FV8" s="161"/>
      <c r="FW8" s="161"/>
      <c r="FX8" s="161"/>
      <c r="FY8" s="161"/>
      <c r="FZ8" s="161"/>
      <c r="GA8" s="161"/>
      <c r="GB8" s="161"/>
      <c r="GC8" s="161"/>
      <c r="GD8" s="161"/>
      <c r="GE8" s="161"/>
      <c r="GF8" s="161"/>
      <c r="GG8" s="161"/>
      <c r="GH8" s="161"/>
      <c r="GI8" s="161"/>
      <c r="GJ8" s="161"/>
      <c r="GK8" s="161"/>
      <c r="GL8" s="161"/>
      <c r="GM8" s="161"/>
      <c r="GN8" s="161"/>
      <c r="GO8" s="161"/>
      <c r="GP8" s="161"/>
      <c r="GQ8" s="161"/>
      <c r="GR8" s="161"/>
      <c r="GS8" s="161"/>
      <c r="GT8" s="161"/>
      <c r="GU8" s="161"/>
      <c r="GV8" s="161"/>
      <c r="GW8" s="161"/>
      <c r="GX8" s="161"/>
      <c r="GY8" s="161"/>
      <c r="GZ8" s="161"/>
      <c r="HA8" s="161"/>
      <c r="HB8" s="161"/>
      <c r="HC8" s="161"/>
      <c r="HD8" s="161"/>
      <c r="HE8" s="161"/>
      <c r="HF8" s="161"/>
      <c r="HG8" s="161"/>
      <c r="HH8" s="161"/>
      <c r="HI8" s="161"/>
      <c r="HJ8" s="161"/>
      <c r="HK8" s="161"/>
      <c r="HL8" s="161"/>
      <c r="HM8" s="161"/>
      <c r="HN8" s="161"/>
      <c r="HO8" s="161"/>
      <c r="HP8" s="161"/>
      <c r="HQ8" s="161"/>
      <c r="HR8" s="161"/>
      <c r="HS8" s="161"/>
      <c r="HT8" s="161"/>
      <c r="HU8" s="161"/>
      <c r="HV8" s="161"/>
      <c r="HW8" s="161"/>
      <c r="HX8" s="161"/>
      <c r="HY8" s="161"/>
      <c r="HZ8" s="161"/>
      <c r="IA8" s="161"/>
      <c r="IB8" s="161"/>
      <c r="IC8" s="161"/>
      <c r="ID8" s="161"/>
      <c r="IE8" s="161"/>
      <c r="IF8" s="161"/>
      <c r="IG8" s="161"/>
      <c r="IH8" s="161"/>
      <c r="II8" s="161"/>
      <c r="IJ8" s="161"/>
      <c r="IK8" s="161"/>
      <c r="IL8" s="161"/>
      <c r="IM8" s="161"/>
      <c r="IN8" s="161"/>
      <c r="IO8" s="161"/>
      <c r="IP8" s="161"/>
      <c r="IQ8" s="161"/>
      <c r="IR8" s="161"/>
      <c r="IS8" s="161"/>
      <c r="IT8" s="161"/>
    </row>
    <row r="9" s="127" customFormat="true" ht="29.1" customHeight="true" spans="1:254">
      <c r="A9" s="164" t="s">
        <v>230</v>
      </c>
      <c r="B9" s="164"/>
      <c r="C9" s="164" t="s">
        <v>231</v>
      </c>
      <c r="D9" s="164"/>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c r="DJ9" s="161"/>
      <c r="DK9" s="161"/>
      <c r="DL9" s="161"/>
      <c r="DM9" s="161"/>
      <c r="DN9" s="161"/>
      <c r="DO9" s="161"/>
      <c r="DP9" s="161"/>
      <c r="DQ9" s="161"/>
      <c r="DR9" s="161"/>
      <c r="DS9" s="161"/>
      <c r="DT9" s="161"/>
      <c r="DU9" s="161"/>
      <c r="DV9" s="161"/>
      <c r="DW9" s="161"/>
      <c r="DX9" s="161"/>
      <c r="DY9" s="161"/>
      <c r="DZ9" s="161"/>
      <c r="EA9" s="161"/>
      <c r="EB9" s="161"/>
      <c r="EC9" s="161"/>
      <c r="ED9" s="161"/>
      <c r="EE9" s="161"/>
      <c r="EF9" s="161"/>
      <c r="EG9" s="161"/>
      <c r="EH9" s="161"/>
      <c r="EI9" s="161"/>
      <c r="EJ9" s="161"/>
      <c r="EK9" s="161"/>
      <c r="EL9" s="161"/>
      <c r="EM9" s="161"/>
      <c r="EN9" s="161"/>
      <c r="EO9" s="161"/>
      <c r="EP9" s="161"/>
      <c r="EQ9" s="161"/>
      <c r="ER9" s="161"/>
      <c r="ES9" s="161"/>
      <c r="ET9" s="161"/>
      <c r="EU9" s="161"/>
      <c r="EV9" s="161"/>
      <c r="EW9" s="161"/>
      <c r="EX9" s="161"/>
      <c r="EY9" s="161"/>
      <c r="EZ9" s="161"/>
      <c r="FA9" s="161"/>
      <c r="FB9" s="161"/>
      <c r="FC9" s="161"/>
      <c r="FD9" s="161"/>
      <c r="FE9" s="161"/>
      <c r="FF9" s="161"/>
      <c r="FG9" s="161"/>
      <c r="FH9" s="161"/>
      <c r="FI9" s="161"/>
      <c r="FJ9" s="161"/>
      <c r="FK9" s="161"/>
      <c r="FL9" s="161"/>
      <c r="FM9" s="161"/>
      <c r="FN9" s="161"/>
      <c r="FO9" s="161"/>
      <c r="FP9" s="161"/>
      <c r="FQ9" s="161"/>
      <c r="FR9" s="161"/>
      <c r="FS9" s="161"/>
      <c r="FT9" s="161"/>
      <c r="FU9" s="161"/>
      <c r="FV9" s="161"/>
      <c r="FW9" s="161"/>
      <c r="FX9" s="161"/>
      <c r="FY9" s="161"/>
      <c r="FZ9" s="161"/>
      <c r="GA9" s="161"/>
      <c r="GB9" s="161"/>
      <c r="GC9" s="161"/>
      <c r="GD9" s="161"/>
      <c r="GE9" s="161"/>
      <c r="GF9" s="161"/>
      <c r="GG9" s="161"/>
      <c r="GH9" s="161"/>
      <c r="GI9" s="161"/>
      <c r="GJ9" s="161"/>
      <c r="GK9" s="161"/>
      <c r="GL9" s="161"/>
      <c r="GM9" s="161"/>
      <c r="GN9" s="161"/>
      <c r="GO9" s="161"/>
      <c r="GP9" s="161"/>
      <c r="GQ9" s="161"/>
      <c r="GR9" s="161"/>
      <c r="GS9" s="161"/>
      <c r="GT9" s="161"/>
      <c r="GU9" s="161"/>
      <c r="GV9" s="161"/>
      <c r="GW9" s="161"/>
      <c r="GX9" s="161"/>
      <c r="GY9" s="161"/>
      <c r="GZ9" s="161"/>
      <c r="HA9" s="161"/>
      <c r="HB9" s="161"/>
      <c r="HC9" s="161"/>
      <c r="HD9" s="161"/>
      <c r="HE9" s="161"/>
      <c r="HF9" s="161"/>
      <c r="HG9" s="161"/>
      <c r="HH9" s="161"/>
      <c r="HI9" s="161"/>
      <c r="HJ9" s="161"/>
      <c r="HK9" s="161"/>
      <c r="HL9" s="161"/>
      <c r="HM9" s="161"/>
      <c r="HN9" s="161"/>
      <c r="HO9" s="161"/>
      <c r="HP9" s="161"/>
      <c r="HQ9" s="161"/>
      <c r="HR9" s="161"/>
      <c r="HS9" s="161"/>
      <c r="HT9" s="161"/>
      <c r="HU9" s="161"/>
      <c r="HV9" s="161"/>
      <c r="HW9" s="161"/>
      <c r="HX9" s="161"/>
      <c r="HY9" s="161"/>
      <c r="HZ9" s="161"/>
      <c r="IA9" s="161"/>
      <c r="IB9" s="161"/>
      <c r="IC9" s="161"/>
      <c r="ID9" s="161"/>
      <c r="IE9" s="161"/>
      <c r="IF9" s="161"/>
      <c r="IG9" s="161"/>
      <c r="IH9" s="161"/>
      <c r="II9" s="161"/>
      <c r="IJ9" s="161"/>
      <c r="IK9" s="161"/>
      <c r="IL9" s="161"/>
      <c r="IM9" s="161"/>
      <c r="IN9" s="161"/>
      <c r="IO9" s="161"/>
      <c r="IP9" s="161"/>
      <c r="IQ9" s="161"/>
      <c r="IR9" s="161"/>
      <c r="IS9" s="161"/>
      <c r="IT9" s="161"/>
    </row>
    <row r="10" s="127" customFormat="true" ht="29.1" customHeight="true" spans="1:254">
      <c r="A10" s="164" t="s">
        <v>232</v>
      </c>
      <c r="B10" s="164"/>
      <c r="C10" s="164"/>
      <c r="D10" s="164"/>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c r="DE10" s="161"/>
      <c r="DF10" s="161"/>
      <c r="DG10" s="161"/>
      <c r="DH10" s="161"/>
      <c r="DI10" s="161"/>
      <c r="DJ10" s="161"/>
      <c r="DK10" s="161"/>
      <c r="DL10" s="161"/>
      <c r="DM10" s="161"/>
      <c r="DN10" s="161"/>
      <c r="DO10" s="161"/>
      <c r="DP10" s="161"/>
      <c r="DQ10" s="161"/>
      <c r="DR10" s="161"/>
      <c r="DS10" s="161"/>
      <c r="DT10" s="161"/>
      <c r="DU10" s="161"/>
      <c r="DV10" s="161"/>
      <c r="DW10" s="161"/>
      <c r="DX10" s="161"/>
      <c r="DY10" s="161"/>
      <c r="DZ10" s="161"/>
      <c r="EA10" s="161"/>
      <c r="EB10" s="161"/>
      <c r="EC10" s="161"/>
      <c r="ED10" s="161"/>
      <c r="EE10" s="161"/>
      <c r="EF10" s="161"/>
      <c r="EG10" s="161"/>
      <c r="EH10" s="161"/>
      <c r="EI10" s="161"/>
      <c r="EJ10" s="161"/>
      <c r="EK10" s="161"/>
      <c r="EL10" s="161"/>
      <c r="EM10" s="161"/>
      <c r="EN10" s="161"/>
      <c r="EO10" s="161"/>
      <c r="EP10" s="161"/>
      <c r="EQ10" s="161"/>
      <c r="ER10" s="161"/>
      <c r="ES10" s="161"/>
      <c r="ET10" s="161"/>
      <c r="EU10" s="161"/>
      <c r="EV10" s="161"/>
      <c r="EW10" s="161"/>
      <c r="EX10" s="161"/>
      <c r="EY10" s="161"/>
      <c r="EZ10" s="161"/>
      <c r="FA10" s="161"/>
      <c r="FB10" s="161"/>
      <c r="FC10" s="161"/>
      <c r="FD10" s="161"/>
      <c r="FE10" s="161"/>
      <c r="FF10" s="161"/>
      <c r="FG10" s="161"/>
      <c r="FH10" s="161"/>
      <c r="FI10" s="161"/>
      <c r="FJ10" s="161"/>
      <c r="FK10" s="161"/>
      <c r="FL10" s="161"/>
      <c r="FM10" s="161"/>
      <c r="FN10" s="161"/>
      <c r="FO10" s="161"/>
      <c r="FP10" s="161"/>
      <c r="FQ10" s="161"/>
      <c r="FR10" s="161"/>
      <c r="FS10" s="161"/>
      <c r="FT10" s="161"/>
      <c r="FU10" s="161"/>
      <c r="FV10" s="161"/>
      <c r="FW10" s="161"/>
      <c r="FX10" s="161"/>
      <c r="FY10" s="161"/>
      <c r="FZ10" s="161"/>
      <c r="GA10" s="161"/>
      <c r="GB10" s="161"/>
      <c r="GC10" s="161"/>
      <c r="GD10" s="161"/>
      <c r="GE10" s="161"/>
      <c r="GF10" s="161"/>
      <c r="GG10" s="161"/>
      <c r="GH10" s="161"/>
      <c r="GI10" s="161"/>
      <c r="GJ10" s="161"/>
      <c r="GK10" s="161"/>
      <c r="GL10" s="161"/>
      <c r="GM10" s="161"/>
      <c r="GN10" s="161"/>
      <c r="GO10" s="161"/>
      <c r="GP10" s="161"/>
      <c r="GQ10" s="161"/>
      <c r="GR10" s="161"/>
      <c r="GS10" s="161"/>
      <c r="GT10" s="161"/>
      <c r="GU10" s="161"/>
      <c r="GV10" s="161"/>
      <c r="GW10" s="161"/>
      <c r="GX10" s="161"/>
      <c r="GY10" s="161"/>
      <c r="GZ10" s="161"/>
      <c r="HA10" s="161"/>
      <c r="HB10" s="161"/>
      <c r="HC10" s="161"/>
      <c r="HD10" s="161"/>
      <c r="HE10" s="161"/>
      <c r="HF10" s="161"/>
      <c r="HG10" s="161"/>
      <c r="HH10" s="161"/>
      <c r="HI10" s="161"/>
      <c r="HJ10" s="161"/>
      <c r="HK10" s="161"/>
      <c r="HL10" s="161"/>
      <c r="HM10" s="161"/>
      <c r="HN10" s="161"/>
      <c r="HO10" s="161"/>
      <c r="HP10" s="161"/>
      <c r="HQ10" s="161"/>
      <c r="HR10" s="161"/>
      <c r="HS10" s="161"/>
      <c r="HT10" s="161"/>
      <c r="HU10" s="161"/>
      <c r="HV10" s="161"/>
      <c r="HW10" s="161"/>
      <c r="HX10" s="161"/>
      <c r="HY10" s="161"/>
      <c r="HZ10" s="161"/>
      <c r="IA10" s="161"/>
      <c r="IB10" s="161"/>
      <c r="IC10" s="161"/>
      <c r="ID10" s="161"/>
      <c r="IE10" s="161"/>
      <c r="IF10" s="161"/>
      <c r="IG10" s="161"/>
      <c r="IH10" s="161"/>
      <c r="II10" s="161"/>
      <c r="IJ10" s="161"/>
      <c r="IK10" s="161"/>
      <c r="IL10" s="161"/>
      <c r="IM10" s="161"/>
      <c r="IN10" s="161"/>
      <c r="IO10" s="161"/>
      <c r="IP10" s="161"/>
      <c r="IQ10" s="161"/>
      <c r="IR10" s="161"/>
      <c r="IS10" s="161"/>
      <c r="IT10" s="161"/>
    </row>
    <row r="11" s="127" customFormat="true" ht="29.1" customHeight="true" spans="1:254">
      <c r="A11" s="164"/>
      <c r="B11" s="164"/>
      <c r="C11" s="164"/>
      <c r="D11" s="164"/>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1"/>
      <c r="DC11" s="161"/>
      <c r="DD11" s="161"/>
      <c r="DE11" s="161"/>
      <c r="DF11" s="161"/>
      <c r="DG11" s="161"/>
      <c r="DH11" s="161"/>
      <c r="DI11" s="161"/>
      <c r="DJ11" s="161"/>
      <c r="DK11" s="161"/>
      <c r="DL11" s="161"/>
      <c r="DM11" s="161"/>
      <c r="DN11" s="161"/>
      <c r="DO11" s="161"/>
      <c r="DP11" s="161"/>
      <c r="DQ11" s="161"/>
      <c r="DR11" s="161"/>
      <c r="DS11" s="161"/>
      <c r="DT11" s="161"/>
      <c r="DU11" s="161"/>
      <c r="DV11" s="161"/>
      <c r="DW11" s="161"/>
      <c r="DX11" s="161"/>
      <c r="DY11" s="161"/>
      <c r="DZ11" s="161"/>
      <c r="EA11" s="161"/>
      <c r="EB11" s="161"/>
      <c r="EC11" s="161"/>
      <c r="ED11" s="161"/>
      <c r="EE11" s="161"/>
      <c r="EF11" s="161"/>
      <c r="EG11" s="161"/>
      <c r="EH11" s="161"/>
      <c r="EI11" s="161"/>
      <c r="EJ11" s="161"/>
      <c r="EK11" s="161"/>
      <c r="EL11" s="161"/>
      <c r="EM11" s="161"/>
      <c r="EN11" s="161"/>
      <c r="EO11" s="161"/>
      <c r="EP11" s="161"/>
      <c r="EQ11" s="161"/>
      <c r="ER11" s="161"/>
      <c r="ES11" s="161"/>
      <c r="ET11" s="161"/>
      <c r="EU11" s="161"/>
      <c r="EV11" s="161"/>
      <c r="EW11" s="161"/>
      <c r="EX11" s="161"/>
      <c r="EY11" s="161"/>
      <c r="EZ11" s="161"/>
      <c r="FA11" s="161"/>
      <c r="FB11" s="161"/>
      <c r="FC11" s="161"/>
      <c r="FD11" s="161"/>
      <c r="FE11" s="161"/>
      <c r="FF11" s="161"/>
      <c r="FG11" s="161"/>
      <c r="FH11" s="161"/>
      <c r="FI11" s="161"/>
      <c r="FJ11" s="161"/>
      <c r="FK11" s="161"/>
      <c r="FL11" s="161"/>
      <c r="FM11" s="161"/>
      <c r="FN11" s="161"/>
      <c r="FO11" s="161"/>
      <c r="FP11" s="161"/>
      <c r="FQ11" s="161"/>
      <c r="FR11" s="161"/>
      <c r="FS11" s="161"/>
      <c r="FT11" s="161"/>
      <c r="FU11" s="161"/>
      <c r="FV11" s="161"/>
      <c r="FW11" s="161"/>
      <c r="FX11" s="161"/>
      <c r="FY11" s="161"/>
      <c r="FZ11" s="161"/>
      <c r="GA11" s="161"/>
      <c r="GB11" s="161"/>
      <c r="GC11" s="161"/>
      <c r="GD11" s="161"/>
      <c r="GE11" s="161"/>
      <c r="GF11" s="161"/>
      <c r="GG11" s="161"/>
      <c r="GH11" s="161"/>
      <c r="GI11" s="161"/>
      <c r="GJ11" s="161"/>
      <c r="GK11" s="161"/>
      <c r="GL11" s="161"/>
      <c r="GM11" s="161"/>
      <c r="GN11" s="161"/>
      <c r="GO11" s="161"/>
      <c r="GP11" s="161"/>
      <c r="GQ11" s="161"/>
      <c r="GR11" s="161"/>
      <c r="GS11" s="161"/>
      <c r="GT11" s="161"/>
      <c r="GU11" s="161"/>
      <c r="GV11" s="161"/>
      <c r="GW11" s="161"/>
      <c r="GX11" s="161"/>
      <c r="GY11" s="161"/>
      <c r="GZ11" s="161"/>
      <c r="HA11" s="161"/>
      <c r="HB11" s="161"/>
      <c r="HC11" s="161"/>
      <c r="HD11" s="161"/>
      <c r="HE11" s="161"/>
      <c r="HF11" s="161"/>
      <c r="HG11" s="161"/>
      <c r="HH11" s="161"/>
      <c r="HI11" s="161"/>
      <c r="HJ11" s="161"/>
      <c r="HK11" s="161"/>
      <c r="HL11" s="161"/>
      <c r="HM11" s="161"/>
      <c r="HN11" s="161"/>
      <c r="HO11" s="161"/>
      <c r="HP11" s="161"/>
      <c r="HQ11" s="161"/>
      <c r="HR11" s="161"/>
      <c r="HS11" s="161"/>
      <c r="HT11" s="161"/>
      <c r="HU11" s="161"/>
      <c r="HV11" s="161"/>
      <c r="HW11" s="161"/>
      <c r="HX11" s="161"/>
      <c r="HY11" s="161"/>
      <c r="HZ11" s="161"/>
      <c r="IA11" s="161"/>
      <c r="IB11" s="161"/>
      <c r="IC11" s="161"/>
      <c r="ID11" s="161"/>
      <c r="IE11" s="161"/>
      <c r="IF11" s="161"/>
      <c r="IG11" s="161"/>
      <c r="IH11" s="161"/>
      <c r="II11" s="161"/>
      <c r="IJ11" s="161"/>
      <c r="IK11" s="161"/>
      <c r="IL11" s="161"/>
      <c r="IM11" s="161"/>
      <c r="IN11" s="161"/>
      <c r="IO11" s="161"/>
      <c r="IP11" s="161"/>
      <c r="IQ11" s="161"/>
      <c r="IR11" s="161"/>
      <c r="IS11" s="161"/>
      <c r="IT11" s="161"/>
    </row>
    <row r="12" s="127" customFormat="true" ht="29.1" customHeight="true" spans="1:254">
      <c r="A12" s="164"/>
      <c r="B12" s="164"/>
      <c r="C12" s="164"/>
      <c r="D12" s="164"/>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1"/>
      <c r="DE12" s="161"/>
      <c r="DF12" s="161"/>
      <c r="DG12" s="161"/>
      <c r="DH12" s="161"/>
      <c r="DI12" s="161"/>
      <c r="DJ12" s="161"/>
      <c r="DK12" s="161"/>
      <c r="DL12" s="161"/>
      <c r="DM12" s="161"/>
      <c r="DN12" s="161"/>
      <c r="DO12" s="161"/>
      <c r="DP12" s="161"/>
      <c r="DQ12" s="161"/>
      <c r="DR12" s="161"/>
      <c r="DS12" s="161"/>
      <c r="DT12" s="161"/>
      <c r="DU12" s="161"/>
      <c r="DV12" s="161"/>
      <c r="DW12" s="161"/>
      <c r="DX12" s="161"/>
      <c r="DY12" s="161"/>
      <c r="DZ12" s="161"/>
      <c r="EA12" s="161"/>
      <c r="EB12" s="161"/>
      <c r="EC12" s="161"/>
      <c r="ED12" s="161"/>
      <c r="EE12" s="161"/>
      <c r="EF12" s="161"/>
      <c r="EG12" s="161"/>
      <c r="EH12" s="161"/>
      <c r="EI12" s="161"/>
      <c r="EJ12" s="161"/>
      <c r="EK12" s="161"/>
      <c r="EL12" s="161"/>
      <c r="EM12" s="161"/>
      <c r="EN12" s="161"/>
      <c r="EO12" s="161"/>
      <c r="EP12" s="161"/>
      <c r="EQ12" s="161"/>
      <c r="ER12" s="161"/>
      <c r="ES12" s="161"/>
      <c r="ET12" s="161"/>
      <c r="EU12" s="161"/>
      <c r="EV12" s="161"/>
      <c r="EW12" s="161"/>
      <c r="EX12" s="161"/>
      <c r="EY12" s="161"/>
      <c r="EZ12" s="161"/>
      <c r="FA12" s="161"/>
      <c r="FB12" s="161"/>
      <c r="FC12" s="161"/>
      <c r="FD12" s="161"/>
      <c r="FE12" s="161"/>
      <c r="FF12" s="161"/>
      <c r="FG12" s="161"/>
      <c r="FH12" s="161"/>
      <c r="FI12" s="161"/>
      <c r="FJ12" s="161"/>
      <c r="FK12" s="161"/>
      <c r="FL12" s="161"/>
      <c r="FM12" s="161"/>
      <c r="FN12" s="161"/>
      <c r="FO12" s="161"/>
      <c r="FP12" s="161"/>
      <c r="FQ12" s="161"/>
      <c r="FR12" s="161"/>
      <c r="FS12" s="161"/>
      <c r="FT12" s="161"/>
      <c r="FU12" s="161"/>
      <c r="FV12" s="161"/>
      <c r="FW12" s="161"/>
      <c r="FX12" s="161"/>
      <c r="FY12" s="161"/>
      <c r="FZ12" s="161"/>
      <c r="GA12" s="161"/>
      <c r="GB12" s="161"/>
      <c r="GC12" s="161"/>
      <c r="GD12" s="161"/>
      <c r="GE12" s="161"/>
      <c r="GF12" s="161"/>
      <c r="GG12" s="161"/>
      <c r="GH12" s="161"/>
      <c r="GI12" s="161"/>
      <c r="GJ12" s="161"/>
      <c r="GK12" s="161"/>
      <c r="GL12" s="161"/>
      <c r="GM12" s="161"/>
      <c r="GN12" s="161"/>
      <c r="GO12" s="161"/>
      <c r="GP12" s="161"/>
      <c r="GQ12" s="161"/>
      <c r="GR12" s="161"/>
      <c r="GS12" s="161"/>
      <c r="GT12" s="161"/>
      <c r="GU12" s="161"/>
      <c r="GV12" s="161"/>
      <c r="GW12" s="161"/>
      <c r="GX12" s="161"/>
      <c r="GY12" s="161"/>
      <c r="GZ12" s="161"/>
      <c r="HA12" s="161"/>
      <c r="HB12" s="161"/>
      <c r="HC12" s="161"/>
      <c r="HD12" s="161"/>
      <c r="HE12" s="161"/>
      <c r="HF12" s="161"/>
      <c r="HG12" s="161"/>
      <c r="HH12" s="161"/>
      <c r="HI12" s="161"/>
      <c r="HJ12" s="161"/>
      <c r="HK12" s="161"/>
      <c r="HL12" s="161"/>
      <c r="HM12" s="161"/>
      <c r="HN12" s="161"/>
      <c r="HO12" s="161"/>
      <c r="HP12" s="161"/>
      <c r="HQ12" s="161"/>
      <c r="HR12" s="161"/>
      <c r="HS12" s="161"/>
      <c r="HT12" s="161"/>
      <c r="HU12" s="161"/>
      <c r="HV12" s="161"/>
      <c r="HW12" s="161"/>
      <c r="HX12" s="161"/>
      <c r="HY12" s="161"/>
      <c r="HZ12" s="161"/>
      <c r="IA12" s="161"/>
      <c r="IB12" s="161"/>
      <c r="IC12" s="161"/>
      <c r="ID12" s="161"/>
      <c r="IE12" s="161"/>
      <c r="IF12" s="161"/>
      <c r="IG12" s="161"/>
      <c r="IH12" s="161"/>
      <c r="II12" s="161"/>
      <c r="IJ12" s="161"/>
      <c r="IK12" s="161"/>
      <c r="IL12" s="161"/>
      <c r="IM12" s="161"/>
      <c r="IN12" s="161"/>
      <c r="IO12" s="161"/>
      <c r="IP12" s="161"/>
      <c r="IQ12" s="161"/>
      <c r="IR12" s="161"/>
      <c r="IS12" s="161"/>
      <c r="IT12" s="161"/>
    </row>
    <row r="13" s="127" customFormat="true" ht="29.1" customHeight="true" spans="1:254">
      <c r="A13" s="164"/>
      <c r="B13" s="164"/>
      <c r="C13" s="164"/>
      <c r="D13" s="164"/>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1"/>
      <c r="CG13" s="161"/>
      <c r="CH13" s="161"/>
      <c r="CI13" s="161"/>
      <c r="CJ13" s="161"/>
      <c r="CK13" s="161"/>
      <c r="CL13" s="161"/>
      <c r="CM13" s="161"/>
      <c r="CN13" s="161"/>
      <c r="CO13" s="161"/>
      <c r="CP13" s="161"/>
      <c r="CQ13" s="161"/>
      <c r="CR13" s="161"/>
      <c r="CS13" s="161"/>
      <c r="CT13" s="161"/>
      <c r="CU13" s="161"/>
      <c r="CV13" s="161"/>
      <c r="CW13" s="161"/>
      <c r="CX13" s="161"/>
      <c r="CY13" s="161"/>
      <c r="CZ13" s="161"/>
      <c r="DA13" s="161"/>
      <c r="DB13" s="161"/>
      <c r="DC13" s="161"/>
      <c r="DD13" s="161"/>
      <c r="DE13" s="161"/>
      <c r="DF13" s="161"/>
      <c r="DG13" s="161"/>
      <c r="DH13" s="161"/>
      <c r="DI13" s="161"/>
      <c r="DJ13" s="161"/>
      <c r="DK13" s="161"/>
      <c r="DL13" s="161"/>
      <c r="DM13" s="161"/>
      <c r="DN13" s="161"/>
      <c r="DO13" s="161"/>
      <c r="DP13" s="161"/>
      <c r="DQ13" s="161"/>
      <c r="DR13" s="161"/>
      <c r="DS13" s="161"/>
      <c r="DT13" s="161"/>
      <c r="DU13" s="161"/>
      <c r="DV13" s="161"/>
      <c r="DW13" s="161"/>
      <c r="DX13" s="161"/>
      <c r="DY13" s="161"/>
      <c r="DZ13" s="161"/>
      <c r="EA13" s="161"/>
      <c r="EB13" s="161"/>
      <c r="EC13" s="161"/>
      <c r="ED13" s="161"/>
      <c r="EE13" s="161"/>
      <c r="EF13" s="161"/>
      <c r="EG13" s="161"/>
      <c r="EH13" s="161"/>
      <c r="EI13" s="161"/>
      <c r="EJ13" s="161"/>
      <c r="EK13" s="161"/>
      <c r="EL13" s="161"/>
      <c r="EM13" s="161"/>
      <c r="EN13" s="161"/>
      <c r="EO13" s="161"/>
      <c r="EP13" s="161"/>
      <c r="EQ13" s="161"/>
      <c r="ER13" s="161"/>
      <c r="ES13" s="161"/>
      <c r="ET13" s="161"/>
      <c r="EU13" s="161"/>
      <c r="EV13" s="161"/>
      <c r="EW13" s="161"/>
      <c r="EX13" s="161"/>
      <c r="EY13" s="161"/>
      <c r="EZ13" s="161"/>
      <c r="FA13" s="161"/>
      <c r="FB13" s="161"/>
      <c r="FC13" s="161"/>
      <c r="FD13" s="161"/>
      <c r="FE13" s="161"/>
      <c r="FF13" s="161"/>
      <c r="FG13" s="161"/>
      <c r="FH13" s="161"/>
      <c r="FI13" s="161"/>
      <c r="FJ13" s="161"/>
      <c r="FK13" s="161"/>
      <c r="FL13" s="161"/>
      <c r="FM13" s="161"/>
      <c r="FN13" s="161"/>
      <c r="FO13" s="161"/>
      <c r="FP13" s="161"/>
      <c r="FQ13" s="161"/>
      <c r="FR13" s="161"/>
      <c r="FS13" s="161"/>
      <c r="FT13" s="161"/>
      <c r="FU13" s="161"/>
      <c r="FV13" s="161"/>
      <c r="FW13" s="161"/>
      <c r="FX13" s="161"/>
      <c r="FY13" s="161"/>
      <c r="FZ13" s="161"/>
      <c r="GA13" s="161"/>
      <c r="GB13" s="161"/>
      <c r="GC13" s="161"/>
      <c r="GD13" s="161"/>
      <c r="GE13" s="161"/>
      <c r="GF13" s="161"/>
      <c r="GG13" s="161"/>
      <c r="GH13" s="161"/>
      <c r="GI13" s="161"/>
      <c r="GJ13" s="161"/>
      <c r="GK13" s="161"/>
      <c r="GL13" s="161"/>
      <c r="GM13" s="161"/>
      <c r="GN13" s="161"/>
      <c r="GO13" s="161"/>
      <c r="GP13" s="161"/>
      <c r="GQ13" s="161"/>
      <c r="GR13" s="161"/>
      <c r="GS13" s="161"/>
      <c r="GT13" s="161"/>
      <c r="GU13" s="161"/>
      <c r="GV13" s="161"/>
      <c r="GW13" s="161"/>
      <c r="GX13" s="161"/>
      <c r="GY13" s="161"/>
      <c r="GZ13" s="161"/>
      <c r="HA13" s="161"/>
      <c r="HB13" s="161"/>
      <c r="HC13" s="161"/>
      <c r="HD13" s="161"/>
      <c r="HE13" s="161"/>
      <c r="HF13" s="161"/>
      <c r="HG13" s="161"/>
      <c r="HH13" s="161"/>
      <c r="HI13" s="161"/>
      <c r="HJ13" s="161"/>
      <c r="HK13" s="161"/>
      <c r="HL13" s="161"/>
      <c r="HM13" s="161"/>
      <c r="HN13" s="161"/>
      <c r="HO13" s="161"/>
      <c r="HP13" s="161"/>
      <c r="HQ13" s="161"/>
      <c r="HR13" s="161"/>
      <c r="HS13" s="161"/>
      <c r="HT13" s="161"/>
      <c r="HU13" s="161"/>
      <c r="HV13" s="161"/>
      <c r="HW13" s="161"/>
      <c r="HX13" s="161"/>
      <c r="HY13" s="161"/>
      <c r="HZ13" s="161"/>
      <c r="IA13" s="161"/>
      <c r="IB13" s="161"/>
      <c r="IC13" s="161"/>
      <c r="ID13" s="161"/>
      <c r="IE13" s="161"/>
      <c r="IF13" s="161"/>
      <c r="IG13" s="161"/>
      <c r="IH13" s="161"/>
      <c r="II13" s="161"/>
      <c r="IJ13" s="161"/>
      <c r="IK13" s="161"/>
      <c r="IL13" s="161"/>
      <c r="IM13" s="161"/>
      <c r="IN13" s="161"/>
      <c r="IO13" s="161"/>
      <c r="IP13" s="161"/>
      <c r="IQ13" s="161"/>
      <c r="IR13" s="161"/>
      <c r="IS13" s="161"/>
      <c r="IT13" s="161"/>
    </row>
    <row r="14" s="127" customFormat="true" ht="29.1" customHeight="true" spans="1:254">
      <c r="A14" s="164"/>
      <c r="B14" s="164"/>
      <c r="C14" s="164"/>
      <c r="D14" s="164"/>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c r="DE14" s="161"/>
      <c r="DF14" s="161"/>
      <c r="DG14" s="161"/>
      <c r="DH14" s="161"/>
      <c r="DI14" s="161"/>
      <c r="DJ14" s="161"/>
      <c r="DK14" s="161"/>
      <c r="DL14" s="161"/>
      <c r="DM14" s="161"/>
      <c r="DN14" s="161"/>
      <c r="DO14" s="161"/>
      <c r="DP14" s="161"/>
      <c r="DQ14" s="161"/>
      <c r="DR14" s="161"/>
      <c r="DS14" s="161"/>
      <c r="DT14" s="161"/>
      <c r="DU14" s="161"/>
      <c r="DV14" s="161"/>
      <c r="DW14" s="161"/>
      <c r="DX14" s="161"/>
      <c r="DY14" s="161"/>
      <c r="DZ14" s="161"/>
      <c r="EA14" s="161"/>
      <c r="EB14" s="161"/>
      <c r="EC14" s="161"/>
      <c r="ED14" s="161"/>
      <c r="EE14" s="161"/>
      <c r="EF14" s="161"/>
      <c r="EG14" s="161"/>
      <c r="EH14" s="161"/>
      <c r="EI14" s="161"/>
      <c r="EJ14" s="161"/>
      <c r="EK14" s="161"/>
      <c r="EL14" s="161"/>
      <c r="EM14" s="161"/>
      <c r="EN14" s="161"/>
      <c r="EO14" s="161"/>
      <c r="EP14" s="161"/>
      <c r="EQ14" s="161"/>
      <c r="ER14" s="161"/>
      <c r="ES14" s="161"/>
      <c r="ET14" s="161"/>
      <c r="EU14" s="161"/>
      <c r="EV14" s="161"/>
      <c r="EW14" s="161"/>
      <c r="EX14" s="161"/>
      <c r="EY14" s="161"/>
      <c r="EZ14" s="161"/>
      <c r="FA14" s="161"/>
      <c r="FB14" s="161"/>
      <c r="FC14" s="161"/>
      <c r="FD14" s="161"/>
      <c r="FE14" s="161"/>
      <c r="FF14" s="161"/>
      <c r="FG14" s="161"/>
      <c r="FH14" s="161"/>
      <c r="FI14" s="161"/>
      <c r="FJ14" s="161"/>
      <c r="FK14" s="161"/>
      <c r="FL14" s="161"/>
      <c r="FM14" s="161"/>
      <c r="FN14" s="161"/>
      <c r="FO14" s="161"/>
      <c r="FP14" s="161"/>
      <c r="FQ14" s="161"/>
      <c r="FR14" s="161"/>
      <c r="FS14" s="161"/>
      <c r="FT14" s="161"/>
      <c r="FU14" s="161"/>
      <c r="FV14" s="161"/>
      <c r="FW14" s="161"/>
      <c r="FX14" s="161"/>
      <c r="FY14" s="161"/>
      <c r="FZ14" s="161"/>
      <c r="GA14" s="161"/>
      <c r="GB14" s="161"/>
      <c r="GC14" s="161"/>
      <c r="GD14" s="161"/>
      <c r="GE14" s="161"/>
      <c r="GF14" s="161"/>
      <c r="GG14" s="161"/>
      <c r="GH14" s="161"/>
      <c r="GI14" s="161"/>
      <c r="GJ14" s="161"/>
      <c r="GK14" s="161"/>
      <c r="GL14" s="161"/>
      <c r="GM14" s="161"/>
      <c r="GN14" s="161"/>
      <c r="GO14" s="161"/>
      <c r="GP14" s="161"/>
      <c r="GQ14" s="161"/>
      <c r="GR14" s="161"/>
      <c r="GS14" s="161"/>
      <c r="GT14" s="161"/>
      <c r="GU14" s="161"/>
      <c r="GV14" s="161"/>
      <c r="GW14" s="161"/>
      <c r="GX14" s="161"/>
      <c r="GY14" s="161"/>
      <c r="GZ14" s="161"/>
      <c r="HA14" s="161"/>
      <c r="HB14" s="161"/>
      <c r="HC14" s="161"/>
      <c r="HD14" s="161"/>
      <c r="HE14" s="161"/>
      <c r="HF14" s="161"/>
      <c r="HG14" s="161"/>
      <c r="HH14" s="161"/>
      <c r="HI14" s="161"/>
      <c r="HJ14" s="161"/>
      <c r="HK14" s="161"/>
      <c r="HL14" s="161"/>
      <c r="HM14" s="161"/>
      <c r="HN14" s="161"/>
      <c r="HO14" s="161"/>
      <c r="HP14" s="161"/>
      <c r="HQ14" s="161"/>
      <c r="HR14" s="161"/>
      <c r="HS14" s="161"/>
      <c r="HT14" s="161"/>
      <c r="HU14" s="161"/>
      <c r="HV14" s="161"/>
      <c r="HW14" s="161"/>
      <c r="HX14" s="161"/>
      <c r="HY14" s="161"/>
      <c r="HZ14" s="161"/>
      <c r="IA14" s="161"/>
      <c r="IB14" s="161"/>
      <c r="IC14" s="161"/>
      <c r="ID14" s="161"/>
      <c r="IE14" s="161"/>
      <c r="IF14" s="161"/>
      <c r="IG14" s="161"/>
      <c r="IH14" s="161"/>
      <c r="II14" s="161"/>
      <c r="IJ14" s="161"/>
      <c r="IK14" s="161"/>
      <c r="IL14" s="161"/>
      <c r="IM14" s="161"/>
      <c r="IN14" s="161"/>
      <c r="IO14" s="161"/>
      <c r="IP14" s="161"/>
      <c r="IQ14" s="161"/>
      <c r="IR14" s="161"/>
      <c r="IS14" s="161"/>
      <c r="IT14" s="161"/>
    </row>
    <row r="15" s="127" customFormat="true" ht="29.1" customHeight="true" spans="1:254">
      <c r="A15" s="164"/>
      <c r="B15" s="164"/>
      <c r="C15" s="164"/>
      <c r="D15" s="164"/>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c r="DT15" s="161"/>
      <c r="DU15" s="161"/>
      <c r="DV15" s="161"/>
      <c r="DW15" s="161"/>
      <c r="DX15" s="161"/>
      <c r="DY15" s="161"/>
      <c r="DZ15" s="161"/>
      <c r="EA15" s="161"/>
      <c r="EB15" s="161"/>
      <c r="EC15" s="161"/>
      <c r="ED15" s="161"/>
      <c r="EE15" s="161"/>
      <c r="EF15" s="161"/>
      <c r="EG15" s="161"/>
      <c r="EH15" s="161"/>
      <c r="EI15" s="161"/>
      <c r="EJ15" s="161"/>
      <c r="EK15" s="161"/>
      <c r="EL15" s="161"/>
      <c r="EM15" s="161"/>
      <c r="EN15" s="161"/>
      <c r="EO15" s="161"/>
      <c r="EP15" s="161"/>
      <c r="EQ15" s="161"/>
      <c r="ER15" s="161"/>
      <c r="ES15" s="161"/>
      <c r="ET15" s="161"/>
      <c r="EU15" s="161"/>
      <c r="EV15" s="161"/>
      <c r="EW15" s="161"/>
      <c r="EX15" s="161"/>
      <c r="EY15" s="161"/>
      <c r="EZ15" s="161"/>
      <c r="FA15" s="161"/>
      <c r="FB15" s="161"/>
      <c r="FC15" s="161"/>
      <c r="FD15" s="161"/>
      <c r="FE15" s="161"/>
      <c r="FF15" s="161"/>
      <c r="FG15" s="161"/>
      <c r="FH15" s="161"/>
      <c r="FI15" s="161"/>
      <c r="FJ15" s="161"/>
      <c r="FK15" s="161"/>
      <c r="FL15" s="161"/>
      <c r="FM15" s="161"/>
      <c r="FN15" s="161"/>
      <c r="FO15" s="161"/>
      <c r="FP15" s="161"/>
      <c r="FQ15" s="161"/>
      <c r="FR15" s="161"/>
      <c r="FS15" s="161"/>
      <c r="FT15" s="161"/>
      <c r="FU15" s="161"/>
      <c r="FV15" s="161"/>
      <c r="FW15" s="161"/>
      <c r="FX15" s="161"/>
      <c r="FY15" s="161"/>
      <c r="FZ15" s="161"/>
      <c r="GA15" s="161"/>
      <c r="GB15" s="161"/>
      <c r="GC15" s="161"/>
      <c r="GD15" s="161"/>
      <c r="GE15" s="161"/>
      <c r="GF15" s="161"/>
      <c r="GG15" s="161"/>
      <c r="GH15" s="161"/>
      <c r="GI15" s="161"/>
      <c r="GJ15" s="161"/>
      <c r="GK15" s="161"/>
      <c r="GL15" s="161"/>
      <c r="GM15" s="161"/>
      <c r="GN15" s="161"/>
      <c r="GO15" s="161"/>
      <c r="GP15" s="161"/>
      <c r="GQ15" s="161"/>
      <c r="GR15" s="161"/>
      <c r="GS15" s="161"/>
      <c r="GT15" s="161"/>
      <c r="GU15" s="161"/>
      <c r="GV15" s="161"/>
      <c r="GW15" s="161"/>
      <c r="GX15" s="161"/>
      <c r="GY15" s="161"/>
      <c r="GZ15" s="161"/>
      <c r="HA15" s="161"/>
      <c r="HB15" s="161"/>
      <c r="HC15" s="161"/>
      <c r="HD15" s="161"/>
      <c r="HE15" s="161"/>
      <c r="HF15" s="161"/>
      <c r="HG15" s="161"/>
      <c r="HH15" s="161"/>
      <c r="HI15" s="161"/>
      <c r="HJ15" s="161"/>
      <c r="HK15" s="161"/>
      <c r="HL15" s="161"/>
      <c r="HM15" s="161"/>
      <c r="HN15" s="161"/>
      <c r="HO15" s="161"/>
      <c r="HP15" s="161"/>
      <c r="HQ15" s="161"/>
      <c r="HR15" s="161"/>
      <c r="HS15" s="161"/>
      <c r="HT15" s="161"/>
      <c r="HU15" s="161"/>
      <c r="HV15" s="161"/>
      <c r="HW15" s="161"/>
      <c r="HX15" s="161"/>
      <c r="HY15" s="161"/>
      <c r="HZ15" s="161"/>
      <c r="IA15" s="161"/>
      <c r="IB15" s="161"/>
      <c r="IC15" s="161"/>
      <c r="ID15" s="161"/>
      <c r="IE15" s="161"/>
      <c r="IF15" s="161"/>
      <c r="IG15" s="161"/>
      <c r="IH15" s="161"/>
      <c r="II15" s="161"/>
      <c r="IJ15" s="161"/>
      <c r="IK15" s="161"/>
      <c r="IL15" s="161"/>
      <c r="IM15" s="161"/>
      <c r="IN15" s="161"/>
      <c r="IO15" s="161"/>
      <c r="IP15" s="161"/>
      <c r="IQ15" s="161"/>
      <c r="IR15" s="161"/>
      <c r="IS15" s="161"/>
      <c r="IT15" s="161"/>
    </row>
    <row r="16" s="127" customFormat="true" ht="29.1" customHeight="true" spans="1:254">
      <c r="A16" s="164"/>
      <c r="B16" s="164"/>
      <c r="C16" s="164"/>
      <c r="D16" s="164"/>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c r="DS16" s="161"/>
      <c r="DT16" s="161"/>
      <c r="DU16" s="161"/>
      <c r="DV16" s="161"/>
      <c r="DW16" s="161"/>
      <c r="DX16" s="161"/>
      <c r="DY16" s="161"/>
      <c r="DZ16" s="161"/>
      <c r="EA16" s="161"/>
      <c r="EB16" s="161"/>
      <c r="EC16" s="161"/>
      <c r="ED16" s="161"/>
      <c r="EE16" s="161"/>
      <c r="EF16" s="161"/>
      <c r="EG16" s="161"/>
      <c r="EH16" s="161"/>
      <c r="EI16" s="161"/>
      <c r="EJ16" s="161"/>
      <c r="EK16" s="161"/>
      <c r="EL16" s="161"/>
      <c r="EM16" s="161"/>
      <c r="EN16" s="161"/>
      <c r="EO16" s="161"/>
      <c r="EP16" s="161"/>
      <c r="EQ16" s="161"/>
      <c r="ER16" s="161"/>
      <c r="ES16" s="161"/>
      <c r="ET16" s="161"/>
      <c r="EU16" s="161"/>
      <c r="EV16" s="161"/>
      <c r="EW16" s="161"/>
      <c r="EX16" s="161"/>
      <c r="EY16" s="161"/>
      <c r="EZ16" s="161"/>
      <c r="FA16" s="161"/>
      <c r="FB16" s="161"/>
      <c r="FC16" s="161"/>
      <c r="FD16" s="161"/>
      <c r="FE16" s="161"/>
      <c r="FF16" s="161"/>
      <c r="FG16" s="161"/>
      <c r="FH16" s="161"/>
      <c r="FI16" s="161"/>
      <c r="FJ16" s="161"/>
      <c r="FK16" s="161"/>
      <c r="FL16" s="161"/>
      <c r="FM16" s="161"/>
      <c r="FN16" s="161"/>
      <c r="FO16" s="161"/>
      <c r="FP16" s="161"/>
      <c r="FQ16" s="161"/>
      <c r="FR16" s="161"/>
      <c r="FS16" s="161"/>
      <c r="FT16" s="161"/>
      <c r="FU16" s="161"/>
      <c r="FV16" s="161"/>
      <c r="FW16" s="161"/>
      <c r="FX16" s="161"/>
      <c r="FY16" s="161"/>
      <c r="FZ16" s="161"/>
      <c r="GA16" s="161"/>
      <c r="GB16" s="161"/>
      <c r="GC16" s="161"/>
      <c r="GD16" s="161"/>
      <c r="GE16" s="161"/>
      <c r="GF16" s="161"/>
      <c r="GG16" s="161"/>
      <c r="GH16" s="161"/>
      <c r="GI16" s="161"/>
      <c r="GJ16" s="161"/>
      <c r="GK16" s="161"/>
      <c r="GL16" s="161"/>
      <c r="GM16" s="161"/>
      <c r="GN16" s="161"/>
      <c r="GO16" s="161"/>
      <c r="GP16" s="161"/>
      <c r="GQ16" s="161"/>
      <c r="GR16" s="161"/>
      <c r="GS16" s="161"/>
      <c r="GT16" s="161"/>
      <c r="GU16" s="161"/>
      <c r="GV16" s="161"/>
      <c r="GW16" s="161"/>
      <c r="GX16" s="161"/>
      <c r="GY16" s="161"/>
      <c r="GZ16" s="161"/>
      <c r="HA16" s="161"/>
      <c r="HB16" s="161"/>
      <c r="HC16" s="161"/>
      <c r="HD16" s="161"/>
      <c r="HE16" s="161"/>
      <c r="HF16" s="161"/>
      <c r="HG16" s="161"/>
      <c r="HH16" s="161"/>
      <c r="HI16" s="161"/>
      <c r="HJ16" s="161"/>
      <c r="HK16" s="161"/>
      <c r="HL16" s="161"/>
      <c r="HM16" s="161"/>
      <c r="HN16" s="161"/>
      <c r="HO16" s="161"/>
      <c r="HP16" s="161"/>
      <c r="HQ16" s="161"/>
      <c r="HR16" s="161"/>
      <c r="HS16" s="161"/>
      <c r="HT16" s="161"/>
      <c r="HU16" s="161"/>
      <c r="HV16" s="161"/>
      <c r="HW16" s="161"/>
      <c r="HX16" s="161"/>
      <c r="HY16" s="161"/>
      <c r="HZ16" s="161"/>
      <c r="IA16" s="161"/>
      <c r="IB16" s="161"/>
      <c r="IC16" s="161"/>
      <c r="ID16" s="161"/>
      <c r="IE16" s="161"/>
      <c r="IF16" s="161"/>
      <c r="IG16" s="161"/>
      <c r="IH16" s="161"/>
      <c r="II16" s="161"/>
      <c r="IJ16" s="161"/>
      <c r="IK16" s="161"/>
      <c r="IL16" s="161"/>
      <c r="IM16" s="161"/>
      <c r="IN16" s="161"/>
      <c r="IO16" s="161"/>
      <c r="IP16" s="161"/>
      <c r="IQ16" s="161"/>
      <c r="IR16" s="161"/>
      <c r="IS16" s="161"/>
      <c r="IT16" s="161"/>
    </row>
    <row r="17" s="127" customFormat="true" ht="29.1" customHeight="true" spans="1:254">
      <c r="A17" s="164"/>
      <c r="B17" s="164"/>
      <c r="C17" s="164"/>
      <c r="D17" s="164"/>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1"/>
      <c r="DC17" s="161"/>
      <c r="DD17" s="161"/>
      <c r="DE17" s="161"/>
      <c r="DF17" s="161"/>
      <c r="DG17" s="161"/>
      <c r="DH17" s="161"/>
      <c r="DI17" s="161"/>
      <c r="DJ17" s="161"/>
      <c r="DK17" s="161"/>
      <c r="DL17" s="161"/>
      <c r="DM17" s="161"/>
      <c r="DN17" s="161"/>
      <c r="DO17" s="161"/>
      <c r="DP17" s="161"/>
      <c r="DQ17" s="161"/>
      <c r="DR17" s="161"/>
      <c r="DS17" s="161"/>
      <c r="DT17" s="161"/>
      <c r="DU17" s="161"/>
      <c r="DV17" s="161"/>
      <c r="DW17" s="161"/>
      <c r="DX17" s="161"/>
      <c r="DY17" s="161"/>
      <c r="DZ17" s="161"/>
      <c r="EA17" s="161"/>
      <c r="EB17" s="161"/>
      <c r="EC17" s="161"/>
      <c r="ED17" s="161"/>
      <c r="EE17" s="161"/>
      <c r="EF17" s="161"/>
      <c r="EG17" s="161"/>
      <c r="EH17" s="161"/>
      <c r="EI17" s="161"/>
      <c r="EJ17" s="161"/>
      <c r="EK17" s="161"/>
      <c r="EL17" s="161"/>
      <c r="EM17" s="161"/>
      <c r="EN17" s="161"/>
      <c r="EO17" s="161"/>
      <c r="EP17" s="161"/>
      <c r="EQ17" s="161"/>
      <c r="ER17" s="161"/>
      <c r="ES17" s="161"/>
      <c r="ET17" s="161"/>
      <c r="EU17" s="161"/>
      <c r="EV17" s="161"/>
      <c r="EW17" s="161"/>
      <c r="EX17" s="161"/>
      <c r="EY17" s="161"/>
      <c r="EZ17" s="161"/>
      <c r="FA17" s="161"/>
      <c r="FB17" s="161"/>
      <c r="FC17" s="161"/>
      <c r="FD17" s="161"/>
      <c r="FE17" s="161"/>
      <c r="FF17" s="161"/>
      <c r="FG17" s="161"/>
      <c r="FH17" s="161"/>
      <c r="FI17" s="161"/>
      <c r="FJ17" s="161"/>
      <c r="FK17" s="161"/>
      <c r="FL17" s="161"/>
      <c r="FM17" s="161"/>
      <c r="FN17" s="161"/>
      <c r="FO17" s="161"/>
      <c r="FP17" s="161"/>
      <c r="FQ17" s="161"/>
      <c r="FR17" s="161"/>
      <c r="FS17" s="161"/>
      <c r="FT17" s="161"/>
      <c r="FU17" s="161"/>
      <c r="FV17" s="161"/>
      <c r="FW17" s="161"/>
      <c r="FX17" s="161"/>
      <c r="FY17" s="161"/>
      <c r="FZ17" s="161"/>
      <c r="GA17" s="161"/>
      <c r="GB17" s="161"/>
      <c r="GC17" s="161"/>
      <c r="GD17" s="161"/>
      <c r="GE17" s="161"/>
      <c r="GF17" s="161"/>
      <c r="GG17" s="161"/>
      <c r="GH17" s="161"/>
      <c r="GI17" s="161"/>
      <c r="GJ17" s="161"/>
      <c r="GK17" s="161"/>
      <c r="GL17" s="161"/>
      <c r="GM17" s="161"/>
      <c r="GN17" s="161"/>
      <c r="GO17" s="161"/>
      <c r="GP17" s="161"/>
      <c r="GQ17" s="161"/>
      <c r="GR17" s="161"/>
      <c r="GS17" s="161"/>
      <c r="GT17" s="161"/>
      <c r="GU17" s="161"/>
      <c r="GV17" s="161"/>
      <c r="GW17" s="161"/>
      <c r="GX17" s="161"/>
      <c r="GY17" s="161"/>
      <c r="GZ17" s="161"/>
      <c r="HA17" s="161"/>
      <c r="HB17" s="161"/>
      <c r="HC17" s="161"/>
      <c r="HD17" s="161"/>
      <c r="HE17" s="161"/>
      <c r="HF17" s="161"/>
      <c r="HG17" s="161"/>
      <c r="HH17" s="161"/>
      <c r="HI17" s="161"/>
      <c r="HJ17" s="161"/>
      <c r="HK17" s="161"/>
      <c r="HL17" s="161"/>
      <c r="HM17" s="161"/>
      <c r="HN17" s="161"/>
      <c r="HO17" s="161"/>
      <c r="HP17" s="161"/>
      <c r="HQ17" s="161"/>
      <c r="HR17" s="161"/>
      <c r="HS17" s="161"/>
      <c r="HT17" s="161"/>
      <c r="HU17" s="161"/>
      <c r="HV17" s="161"/>
      <c r="HW17" s="161"/>
      <c r="HX17" s="161"/>
      <c r="HY17" s="161"/>
      <c r="HZ17" s="161"/>
      <c r="IA17" s="161"/>
      <c r="IB17" s="161"/>
      <c r="IC17" s="161"/>
      <c r="ID17" s="161"/>
      <c r="IE17" s="161"/>
      <c r="IF17" s="161"/>
      <c r="IG17" s="161"/>
      <c r="IH17" s="161"/>
      <c r="II17" s="161"/>
      <c r="IJ17" s="161"/>
      <c r="IK17" s="161"/>
      <c r="IL17" s="161"/>
      <c r="IM17" s="161"/>
      <c r="IN17" s="161"/>
      <c r="IO17" s="161"/>
      <c r="IP17" s="161"/>
      <c r="IQ17" s="161"/>
      <c r="IR17" s="161"/>
      <c r="IS17" s="161"/>
      <c r="IT17" s="161"/>
    </row>
    <row r="18" s="127" customFormat="true" ht="29.1" customHeight="true" spans="1:254">
      <c r="A18" s="164"/>
      <c r="B18" s="164"/>
      <c r="C18" s="164"/>
      <c r="D18" s="164"/>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c r="DE18" s="161"/>
      <c r="DF18" s="161"/>
      <c r="DG18" s="161"/>
      <c r="DH18" s="161"/>
      <c r="DI18" s="161"/>
      <c r="DJ18" s="161"/>
      <c r="DK18" s="161"/>
      <c r="DL18" s="161"/>
      <c r="DM18" s="161"/>
      <c r="DN18" s="161"/>
      <c r="DO18" s="161"/>
      <c r="DP18" s="161"/>
      <c r="DQ18" s="161"/>
      <c r="DR18" s="161"/>
      <c r="DS18" s="161"/>
      <c r="DT18" s="161"/>
      <c r="DU18" s="161"/>
      <c r="DV18" s="161"/>
      <c r="DW18" s="161"/>
      <c r="DX18" s="161"/>
      <c r="DY18" s="161"/>
      <c r="DZ18" s="161"/>
      <c r="EA18" s="161"/>
      <c r="EB18" s="161"/>
      <c r="EC18" s="161"/>
      <c r="ED18" s="161"/>
      <c r="EE18" s="161"/>
      <c r="EF18" s="161"/>
      <c r="EG18" s="161"/>
      <c r="EH18" s="161"/>
      <c r="EI18" s="161"/>
      <c r="EJ18" s="161"/>
      <c r="EK18" s="161"/>
      <c r="EL18" s="161"/>
      <c r="EM18" s="161"/>
      <c r="EN18" s="161"/>
      <c r="EO18" s="161"/>
      <c r="EP18" s="161"/>
      <c r="EQ18" s="161"/>
      <c r="ER18" s="161"/>
      <c r="ES18" s="161"/>
      <c r="ET18" s="161"/>
      <c r="EU18" s="161"/>
      <c r="EV18" s="161"/>
      <c r="EW18" s="161"/>
      <c r="EX18" s="161"/>
      <c r="EY18" s="161"/>
      <c r="EZ18" s="161"/>
      <c r="FA18" s="161"/>
      <c r="FB18" s="161"/>
      <c r="FC18" s="161"/>
      <c r="FD18" s="161"/>
      <c r="FE18" s="161"/>
      <c r="FF18" s="161"/>
      <c r="FG18" s="161"/>
      <c r="FH18" s="161"/>
      <c r="FI18" s="161"/>
      <c r="FJ18" s="161"/>
      <c r="FK18" s="161"/>
      <c r="FL18" s="161"/>
      <c r="FM18" s="161"/>
      <c r="FN18" s="161"/>
      <c r="FO18" s="161"/>
      <c r="FP18" s="161"/>
      <c r="FQ18" s="161"/>
      <c r="FR18" s="161"/>
      <c r="FS18" s="161"/>
      <c r="FT18" s="161"/>
      <c r="FU18" s="161"/>
      <c r="FV18" s="161"/>
      <c r="FW18" s="161"/>
      <c r="FX18" s="161"/>
      <c r="FY18" s="161"/>
      <c r="FZ18" s="161"/>
      <c r="GA18" s="161"/>
      <c r="GB18" s="161"/>
      <c r="GC18" s="161"/>
      <c r="GD18" s="161"/>
      <c r="GE18" s="161"/>
      <c r="GF18" s="161"/>
      <c r="GG18" s="161"/>
      <c r="GH18" s="161"/>
      <c r="GI18" s="161"/>
      <c r="GJ18" s="161"/>
      <c r="GK18" s="161"/>
      <c r="GL18" s="161"/>
      <c r="GM18" s="161"/>
      <c r="GN18" s="161"/>
      <c r="GO18" s="161"/>
      <c r="GP18" s="161"/>
      <c r="GQ18" s="161"/>
      <c r="GR18" s="161"/>
      <c r="GS18" s="161"/>
      <c r="GT18" s="161"/>
      <c r="GU18" s="161"/>
      <c r="GV18" s="161"/>
      <c r="GW18" s="161"/>
      <c r="GX18" s="161"/>
      <c r="GY18" s="161"/>
      <c r="GZ18" s="161"/>
      <c r="HA18" s="161"/>
      <c r="HB18" s="161"/>
      <c r="HC18" s="161"/>
      <c r="HD18" s="161"/>
      <c r="HE18" s="161"/>
      <c r="HF18" s="161"/>
      <c r="HG18" s="161"/>
      <c r="HH18" s="161"/>
      <c r="HI18" s="161"/>
      <c r="HJ18" s="161"/>
      <c r="HK18" s="161"/>
      <c r="HL18" s="161"/>
      <c r="HM18" s="161"/>
      <c r="HN18" s="161"/>
      <c r="HO18" s="161"/>
      <c r="HP18" s="161"/>
      <c r="HQ18" s="161"/>
      <c r="HR18" s="161"/>
      <c r="HS18" s="161"/>
      <c r="HT18" s="161"/>
      <c r="HU18" s="161"/>
      <c r="HV18" s="161"/>
      <c r="HW18" s="161"/>
      <c r="HX18" s="161"/>
      <c r="HY18" s="161"/>
      <c r="HZ18" s="161"/>
      <c r="IA18" s="161"/>
      <c r="IB18" s="161"/>
      <c r="IC18" s="161"/>
      <c r="ID18" s="161"/>
      <c r="IE18" s="161"/>
      <c r="IF18" s="161"/>
      <c r="IG18" s="161"/>
      <c r="IH18" s="161"/>
      <c r="II18" s="161"/>
      <c r="IJ18" s="161"/>
      <c r="IK18" s="161"/>
      <c r="IL18" s="161"/>
      <c r="IM18" s="161"/>
      <c r="IN18" s="161"/>
      <c r="IO18" s="161"/>
      <c r="IP18" s="161"/>
      <c r="IQ18" s="161"/>
      <c r="IR18" s="161"/>
      <c r="IS18" s="161"/>
      <c r="IT18" s="161"/>
    </row>
    <row r="19" s="127" customFormat="true" ht="29.1" customHeight="true" spans="1:254">
      <c r="A19" s="163" t="s">
        <v>203</v>
      </c>
      <c r="B19" s="163">
        <f>SUM(B6:B18)</f>
        <v>235</v>
      </c>
      <c r="C19" s="163" t="s">
        <v>204</v>
      </c>
      <c r="D19" s="165">
        <f>SUM(D6:D18)</f>
        <v>0</v>
      </c>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1"/>
      <c r="DE19" s="161"/>
      <c r="DF19" s="161"/>
      <c r="DG19" s="161"/>
      <c r="DH19" s="161"/>
      <c r="DI19" s="161"/>
      <c r="DJ19" s="161"/>
      <c r="DK19" s="161"/>
      <c r="DL19" s="161"/>
      <c r="DM19" s="161"/>
      <c r="DN19" s="161"/>
      <c r="DO19" s="161"/>
      <c r="DP19" s="161"/>
      <c r="DQ19" s="161"/>
      <c r="DR19" s="161"/>
      <c r="DS19" s="161"/>
      <c r="DT19" s="161"/>
      <c r="DU19" s="161"/>
      <c r="DV19" s="161"/>
      <c r="DW19" s="161"/>
      <c r="DX19" s="161"/>
      <c r="DY19" s="161"/>
      <c r="DZ19" s="161"/>
      <c r="EA19" s="161"/>
      <c r="EB19" s="161"/>
      <c r="EC19" s="161"/>
      <c r="ED19" s="161"/>
      <c r="EE19" s="161"/>
      <c r="EF19" s="161"/>
      <c r="EG19" s="161"/>
      <c r="EH19" s="161"/>
      <c r="EI19" s="161"/>
      <c r="EJ19" s="161"/>
      <c r="EK19" s="161"/>
      <c r="EL19" s="161"/>
      <c r="EM19" s="161"/>
      <c r="EN19" s="161"/>
      <c r="EO19" s="161"/>
      <c r="EP19" s="161"/>
      <c r="EQ19" s="161"/>
      <c r="ER19" s="161"/>
      <c r="ES19" s="161"/>
      <c r="ET19" s="161"/>
      <c r="EU19" s="161"/>
      <c r="EV19" s="161"/>
      <c r="EW19" s="161"/>
      <c r="EX19" s="161"/>
      <c r="EY19" s="161"/>
      <c r="EZ19" s="161"/>
      <c r="FA19" s="161"/>
      <c r="FB19" s="161"/>
      <c r="FC19" s="161"/>
      <c r="FD19" s="161"/>
      <c r="FE19" s="161"/>
      <c r="FF19" s="161"/>
      <c r="FG19" s="161"/>
      <c r="FH19" s="161"/>
      <c r="FI19" s="161"/>
      <c r="FJ19" s="161"/>
      <c r="FK19" s="161"/>
      <c r="FL19" s="161"/>
      <c r="FM19" s="161"/>
      <c r="FN19" s="161"/>
      <c r="FO19" s="161"/>
      <c r="FP19" s="161"/>
      <c r="FQ19" s="161"/>
      <c r="FR19" s="161"/>
      <c r="FS19" s="161"/>
      <c r="FT19" s="161"/>
      <c r="FU19" s="161"/>
      <c r="FV19" s="161"/>
      <c r="FW19" s="161"/>
      <c r="FX19" s="161"/>
      <c r="FY19" s="161"/>
      <c r="FZ19" s="161"/>
      <c r="GA19" s="161"/>
      <c r="GB19" s="161"/>
      <c r="GC19" s="161"/>
      <c r="GD19" s="161"/>
      <c r="GE19" s="161"/>
      <c r="GF19" s="161"/>
      <c r="GG19" s="161"/>
      <c r="GH19" s="161"/>
      <c r="GI19" s="161"/>
      <c r="GJ19" s="161"/>
      <c r="GK19" s="161"/>
      <c r="GL19" s="161"/>
      <c r="GM19" s="161"/>
      <c r="GN19" s="161"/>
      <c r="GO19" s="161"/>
      <c r="GP19" s="161"/>
      <c r="GQ19" s="161"/>
      <c r="GR19" s="161"/>
      <c r="GS19" s="161"/>
      <c r="GT19" s="161"/>
      <c r="GU19" s="161"/>
      <c r="GV19" s="161"/>
      <c r="GW19" s="161"/>
      <c r="GX19" s="161"/>
      <c r="GY19" s="161"/>
      <c r="GZ19" s="161"/>
      <c r="HA19" s="161"/>
      <c r="HB19" s="161"/>
      <c r="HC19" s="161"/>
      <c r="HD19" s="161"/>
      <c r="HE19" s="161"/>
      <c r="HF19" s="161"/>
      <c r="HG19" s="161"/>
      <c r="HH19" s="161"/>
      <c r="HI19" s="161"/>
      <c r="HJ19" s="161"/>
      <c r="HK19" s="161"/>
      <c r="HL19" s="161"/>
      <c r="HM19" s="161"/>
      <c r="HN19" s="161"/>
      <c r="HO19" s="161"/>
      <c r="HP19" s="161"/>
      <c r="HQ19" s="161"/>
      <c r="HR19" s="161"/>
      <c r="HS19" s="161"/>
      <c r="HT19" s="161"/>
      <c r="HU19" s="161"/>
      <c r="HV19" s="161"/>
      <c r="HW19" s="161"/>
      <c r="HX19" s="161"/>
      <c r="HY19" s="161"/>
      <c r="HZ19" s="161"/>
      <c r="IA19" s="161"/>
      <c r="IB19" s="161"/>
      <c r="IC19" s="161"/>
      <c r="ID19" s="161"/>
      <c r="IE19" s="161"/>
      <c r="IF19" s="161"/>
      <c r="IG19" s="161"/>
      <c r="IH19" s="161"/>
      <c r="II19" s="161"/>
      <c r="IJ19" s="161"/>
      <c r="IK19" s="161"/>
      <c r="IL19" s="161"/>
      <c r="IM19" s="161"/>
      <c r="IN19" s="161"/>
      <c r="IO19" s="161"/>
      <c r="IP19" s="161"/>
      <c r="IQ19" s="161"/>
      <c r="IR19" s="161"/>
      <c r="IS19" s="161"/>
      <c r="IT19" s="161"/>
    </row>
    <row r="20" s="127" customFormat="true" ht="29.1" customHeight="true" spans="1:254">
      <c r="A20" s="164" t="s">
        <v>235</v>
      </c>
      <c r="B20" s="164"/>
      <c r="C20" s="164" t="s">
        <v>236</v>
      </c>
      <c r="D20" s="164"/>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1"/>
      <c r="DD20" s="161"/>
      <c r="DE20" s="161"/>
      <c r="DF20" s="161"/>
      <c r="DG20" s="161"/>
      <c r="DH20" s="161"/>
      <c r="DI20" s="161"/>
      <c r="DJ20" s="161"/>
      <c r="DK20" s="161"/>
      <c r="DL20" s="161"/>
      <c r="DM20" s="161"/>
      <c r="DN20" s="161"/>
      <c r="DO20" s="161"/>
      <c r="DP20" s="161"/>
      <c r="DQ20" s="161"/>
      <c r="DR20" s="161"/>
      <c r="DS20" s="161"/>
      <c r="DT20" s="161"/>
      <c r="DU20" s="161"/>
      <c r="DV20" s="161"/>
      <c r="DW20" s="161"/>
      <c r="DX20" s="161"/>
      <c r="DY20" s="161"/>
      <c r="DZ20" s="161"/>
      <c r="EA20" s="161"/>
      <c r="EB20" s="161"/>
      <c r="EC20" s="161"/>
      <c r="ED20" s="161"/>
      <c r="EE20" s="161"/>
      <c r="EF20" s="161"/>
      <c r="EG20" s="161"/>
      <c r="EH20" s="161"/>
      <c r="EI20" s="161"/>
      <c r="EJ20" s="161"/>
      <c r="EK20" s="161"/>
      <c r="EL20" s="161"/>
      <c r="EM20" s="161"/>
      <c r="EN20" s="161"/>
      <c r="EO20" s="161"/>
      <c r="EP20" s="161"/>
      <c r="EQ20" s="161"/>
      <c r="ER20" s="161"/>
      <c r="ES20" s="161"/>
      <c r="ET20" s="161"/>
      <c r="EU20" s="161"/>
      <c r="EV20" s="161"/>
      <c r="EW20" s="161"/>
      <c r="EX20" s="161"/>
      <c r="EY20" s="161"/>
      <c r="EZ20" s="161"/>
      <c r="FA20" s="161"/>
      <c r="FB20" s="161"/>
      <c r="FC20" s="161"/>
      <c r="FD20" s="161"/>
      <c r="FE20" s="161"/>
      <c r="FF20" s="161"/>
      <c r="FG20" s="161"/>
      <c r="FH20" s="161"/>
      <c r="FI20" s="161"/>
      <c r="FJ20" s="161"/>
      <c r="FK20" s="161"/>
      <c r="FL20" s="161"/>
      <c r="FM20" s="161"/>
      <c r="FN20" s="161"/>
      <c r="FO20" s="161"/>
      <c r="FP20" s="161"/>
      <c r="FQ20" s="161"/>
      <c r="FR20" s="161"/>
      <c r="FS20" s="161"/>
      <c r="FT20" s="161"/>
      <c r="FU20" s="161"/>
      <c r="FV20" s="161"/>
      <c r="FW20" s="161"/>
      <c r="FX20" s="161"/>
      <c r="FY20" s="161"/>
      <c r="FZ20" s="161"/>
      <c r="GA20" s="161"/>
      <c r="GB20" s="161"/>
      <c r="GC20" s="161"/>
      <c r="GD20" s="161"/>
      <c r="GE20" s="161"/>
      <c r="GF20" s="161"/>
      <c r="GG20" s="161"/>
      <c r="GH20" s="161"/>
      <c r="GI20" s="161"/>
      <c r="GJ20" s="161"/>
      <c r="GK20" s="161"/>
      <c r="GL20" s="161"/>
      <c r="GM20" s="161"/>
      <c r="GN20" s="161"/>
      <c r="GO20" s="161"/>
      <c r="GP20" s="161"/>
      <c r="GQ20" s="161"/>
      <c r="GR20" s="161"/>
      <c r="GS20" s="161"/>
      <c r="GT20" s="161"/>
      <c r="GU20" s="161"/>
      <c r="GV20" s="161"/>
      <c r="GW20" s="161"/>
      <c r="GX20" s="161"/>
      <c r="GY20" s="161"/>
      <c r="GZ20" s="161"/>
      <c r="HA20" s="161"/>
      <c r="HB20" s="161"/>
      <c r="HC20" s="161"/>
      <c r="HD20" s="161"/>
      <c r="HE20" s="161"/>
      <c r="HF20" s="161"/>
      <c r="HG20" s="161"/>
      <c r="HH20" s="161"/>
      <c r="HI20" s="161"/>
      <c r="HJ20" s="161"/>
      <c r="HK20" s="161"/>
      <c r="HL20" s="161"/>
      <c r="HM20" s="161"/>
      <c r="HN20" s="161"/>
      <c r="HO20" s="161"/>
      <c r="HP20" s="161"/>
      <c r="HQ20" s="161"/>
      <c r="HR20" s="161"/>
      <c r="HS20" s="161"/>
      <c r="HT20" s="161"/>
      <c r="HU20" s="161"/>
      <c r="HV20" s="161"/>
      <c r="HW20" s="161"/>
      <c r="HX20" s="161"/>
      <c r="HY20" s="161"/>
      <c r="HZ20" s="161"/>
      <c r="IA20" s="161"/>
      <c r="IB20" s="161"/>
      <c r="IC20" s="161"/>
      <c r="ID20" s="161"/>
      <c r="IE20" s="161"/>
      <c r="IF20" s="161"/>
      <c r="IG20" s="161"/>
      <c r="IH20" s="161"/>
      <c r="II20" s="161"/>
      <c r="IJ20" s="161"/>
      <c r="IK20" s="161"/>
      <c r="IL20" s="161"/>
      <c r="IM20" s="161"/>
      <c r="IN20" s="161"/>
      <c r="IO20" s="161"/>
      <c r="IP20" s="161"/>
      <c r="IQ20" s="161"/>
      <c r="IR20" s="161"/>
      <c r="IS20" s="161"/>
      <c r="IT20" s="161"/>
    </row>
    <row r="21" s="127" customFormat="true" ht="29.1" customHeight="true" spans="1:254">
      <c r="A21" s="164" t="s">
        <v>237</v>
      </c>
      <c r="B21" s="164"/>
      <c r="C21" s="164" t="s">
        <v>238</v>
      </c>
      <c r="D21" s="164"/>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1"/>
      <c r="DH21" s="161"/>
      <c r="DI21" s="161"/>
      <c r="DJ21" s="161"/>
      <c r="DK21" s="161"/>
      <c r="DL21" s="161"/>
      <c r="DM21" s="161"/>
      <c r="DN21" s="161"/>
      <c r="DO21" s="161"/>
      <c r="DP21" s="161"/>
      <c r="DQ21" s="161"/>
      <c r="DR21" s="161"/>
      <c r="DS21" s="161"/>
      <c r="DT21" s="161"/>
      <c r="DU21" s="161"/>
      <c r="DV21" s="161"/>
      <c r="DW21" s="161"/>
      <c r="DX21" s="161"/>
      <c r="DY21" s="161"/>
      <c r="DZ21" s="161"/>
      <c r="EA21" s="161"/>
      <c r="EB21" s="161"/>
      <c r="EC21" s="161"/>
      <c r="ED21" s="161"/>
      <c r="EE21" s="161"/>
      <c r="EF21" s="161"/>
      <c r="EG21" s="161"/>
      <c r="EH21" s="161"/>
      <c r="EI21" s="161"/>
      <c r="EJ21" s="161"/>
      <c r="EK21" s="161"/>
      <c r="EL21" s="161"/>
      <c r="EM21" s="161"/>
      <c r="EN21" s="161"/>
      <c r="EO21" s="161"/>
      <c r="EP21" s="161"/>
      <c r="EQ21" s="161"/>
      <c r="ER21" s="161"/>
      <c r="ES21" s="161"/>
      <c r="ET21" s="161"/>
      <c r="EU21" s="161"/>
      <c r="EV21" s="161"/>
      <c r="EW21" s="161"/>
      <c r="EX21" s="161"/>
      <c r="EY21" s="161"/>
      <c r="EZ21" s="161"/>
      <c r="FA21" s="161"/>
      <c r="FB21" s="161"/>
      <c r="FC21" s="161"/>
      <c r="FD21" s="161"/>
      <c r="FE21" s="161"/>
      <c r="FF21" s="161"/>
      <c r="FG21" s="161"/>
      <c r="FH21" s="161"/>
      <c r="FI21" s="161"/>
      <c r="FJ21" s="161"/>
      <c r="FK21" s="161"/>
      <c r="FL21" s="161"/>
      <c r="FM21" s="161"/>
      <c r="FN21" s="161"/>
      <c r="FO21" s="161"/>
      <c r="FP21" s="161"/>
      <c r="FQ21" s="161"/>
      <c r="FR21" s="161"/>
      <c r="FS21" s="161"/>
      <c r="FT21" s="161"/>
      <c r="FU21" s="161"/>
      <c r="FV21" s="161"/>
      <c r="FW21" s="161"/>
      <c r="FX21" s="161"/>
      <c r="FY21" s="161"/>
      <c r="FZ21" s="161"/>
      <c r="GA21" s="161"/>
      <c r="GB21" s="161"/>
      <c r="GC21" s="161"/>
      <c r="GD21" s="161"/>
      <c r="GE21" s="161"/>
      <c r="GF21" s="161"/>
      <c r="GG21" s="161"/>
      <c r="GH21" s="161"/>
      <c r="GI21" s="161"/>
      <c r="GJ21" s="161"/>
      <c r="GK21" s="161"/>
      <c r="GL21" s="161"/>
      <c r="GM21" s="161"/>
      <c r="GN21" s="161"/>
      <c r="GO21" s="161"/>
      <c r="GP21" s="161"/>
      <c r="GQ21" s="161"/>
      <c r="GR21" s="161"/>
      <c r="GS21" s="161"/>
      <c r="GT21" s="161"/>
      <c r="GU21" s="161"/>
      <c r="GV21" s="161"/>
      <c r="GW21" s="161"/>
      <c r="GX21" s="161"/>
      <c r="GY21" s="161"/>
      <c r="GZ21" s="161"/>
      <c r="HA21" s="161"/>
      <c r="HB21" s="161"/>
      <c r="HC21" s="161"/>
      <c r="HD21" s="161"/>
      <c r="HE21" s="161"/>
      <c r="HF21" s="161"/>
      <c r="HG21" s="161"/>
      <c r="HH21" s="161"/>
      <c r="HI21" s="161"/>
      <c r="HJ21" s="161"/>
      <c r="HK21" s="161"/>
      <c r="HL21" s="161"/>
      <c r="HM21" s="161"/>
      <c r="HN21" s="161"/>
      <c r="HO21" s="161"/>
      <c r="HP21" s="161"/>
      <c r="HQ21" s="161"/>
      <c r="HR21" s="161"/>
      <c r="HS21" s="161"/>
      <c r="HT21" s="161"/>
      <c r="HU21" s="161"/>
      <c r="HV21" s="161"/>
      <c r="HW21" s="161"/>
      <c r="HX21" s="161"/>
      <c r="HY21" s="161"/>
      <c r="HZ21" s="161"/>
      <c r="IA21" s="161"/>
      <c r="IB21" s="161"/>
      <c r="IC21" s="161"/>
      <c r="ID21" s="161"/>
      <c r="IE21" s="161"/>
      <c r="IF21" s="161"/>
      <c r="IG21" s="161"/>
      <c r="IH21" s="161"/>
      <c r="II21" s="161"/>
      <c r="IJ21" s="161"/>
      <c r="IK21" s="161"/>
      <c r="IL21" s="161"/>
      <c r="IM21" s="161"/>
      <c r="IN21" s="161"/>
      <c r="IO21" s="161"/>
      <c r="IP21" s="161"/>
      <c r="IQ21" s="161"/>
      <c r="IR21" s="161"/>
      <c r="IS21" s="161"/>
      <c r="IT21" s="161"/>
    </row>
    <row r="22" s="127" customFormat="true" ht="29.1" customHeight="true" spans="1:254">
      <c r="A22" s="164" t="s">
        <v>239</v>
      </c>
      <c r="B22" s="164"/>
      <c r="C22" s="164" t="s">
        <v>240</v>
      </c>
      <c r="D22" s="164">
        <v>235</v>
      </c>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1"/>
      <c r="DE22" s="161"/>
      <c r="DF22" s="161"/>
      <c r="DG22" s="161"/>
      <c r="DH22" s="161"/>
      <c r="DI22" s="161"/>
      <c r="DJ22" s="161"/>
      <c r="DK22" s="161"/>
      <c r="DL22" s="161"/>
      <c r="DM22" s="161"/>
      <c r="DN22" s="161"/>
      <c r="DO22" s="161"/>
      <c r="DP22" s="161"/>
      <c r="DQ22" s="161"/>
      <c r="DR22" s="161"/>
      <c r="DS22" s="161"/>
      <c r="DT22" s="161"/>
      <c r="DU22" s="161"/>
      <c r="DV22" s="161"/>
      <c r="DW22" s="161"/>
      <c r="DX22" s="161"/>
      <c r="DY22" s="161"/>
      <c r="DZ22" s="161"/>
      <c r="EA22" s="161"/>
      <c r="EB22" s="161"/>
      <c r="EC22" s="161"/>
      <c r="ED22" s="161"/>
      <c r="EE22" s="161"/>
      <c r="EF22" s="161"/>
      <c r="EG22" s="161"/>
      <c r="EH22" s="161"/>
      <c r="EI22" s="161"/>
      <c r="EJ22" s="161"/>
      <c r="EK22" s="161"/>
      <c r="EL22" s="161"/>
      <c r="EM22" s="161"/>
      <c r="EN22" s="161"/>
      <c r="EO22" s="161"/>
      <c r="EP22" s="161"/>
      <c r="EQ22" s="161"/>
      <c r="ER22" s="161"/>
      <c r="ES22" s="161"/>
      <c r="ET22" s="161"/>
      <c r="EU22" s="161"/>
      <c r="EV22" s="161"/>
      <c r="EW22" s="161"/>
      <c r="EX22" s="161"/>
      <c r="EY22" s="161"/>
      <c r="EZ22" s="161"/>
      <c r="FA22" s="161"/>
      <c r="FB22" s="161"/>
      <c r="FC22" s="161"/>
      <c r="FD22" s="161"/>
      <c r="FE22" s="161"/>
      <c r="FF22" s="161"/>
      <c r="FG22" s="161"/>
      <c r="FH22" s="161"/>
      <c r="FI22" s="161"/>
      <c r="FJ22" s="161"/>
      <c r="FK22" s="161"/>
      <c r="FL22" s="161"/>
      <c r="FM22" s="161"/>
      <c r="FN22" s="161"/>
      <c r="FO22" s="161"/>
      <c r="FP22" s="161"/>
      <c r="FQ22" s="161"/>
      <c r="FR22" s="161"/>
      <c r="FS22" s="161"/>
      <c r="FT22" s="161"/>
      <c r="FU22" s="161"/>
      <c r="FV22" s="161"/>
      <c r="FW22" s="161"/>
      <c r="FX22" s="161"/>
      <c r="FY22" s="161"/>
      <c r="FZ22" s="161"/>
      <c r="GA22" s="161"/>
      <c r="GB22" s="161"/>
      <c r="GC22" s="161"/>
      <c r="GD22" s="161"/>
      <c r="GE22" s="161"/>
      <c r="GF22" s="161"/>
      <c r="GG22" s="161"/>
      <c r="GH22" s="161"/>
      <c r="GI22" s="161"/>
      <c r="GJ22" s="161"/>
      <c r="GK22" s="161"/>
      <c r="GL22" s="161"/>
      <c r="GM22" s="161"/>
      <c r="GN22" s="161"/>
      <c r="GO22" s="161"/>
      <c r="GP22" s="161"/>
      <c r="GQ22" s="161"/>
      <c r="GR22" s="161"/>
      <c r="GS22" s="161"/>
      <c r="GT22" s="161"/>
      <c r="GU22" s="161"/>
      <c r="GV22" s="161"/>
      <c r="GW22" s="161"/>
      <c r="GX22" s="161"/>
      <c r="GY22" s="161"/>
      <c r="GZ22" s="161"/>
      <c r="HA22" s="161"/>
      <c r="HB22" s="161"/>
      <c r="HC22" s="161"/>
      <c r="HD22" s="161"/>
      <c r="HE22" s="161"/>
      <c r="HF22" s="161"/>
      <c r="HG22" s="161"/>
      <c r="HH22" s="161"/>
      <c r="HI22" s="161"/>
      <c r="HJ22" s="161"/>
      <c r="HK22" s="161"/>
      <c r="HL22" s="161"/>
      <c r="HM22" s="161"/>
      <c r="HN22" s="161"/>
      <c r="HO22" s="161"/>
      <c r="HP22" s="161"/>
      <c r="HQ22" s="161"/>
      <c r="HR22" s="161"/>
      <c r="HS22" s="161"/>
      <c r="HT22" s="161"/>
      <c r="HU22" s="161"/>
      <c r="HV22" s="161"/>
      <c r="HW22" s="161"/>
      <c r="HX22" s="161"/>
      <c r="HY22" s="161"/>
      <c r="HZ22" s="161"/>
      <c r="IA22" s="161"/>
      <c r="IB22" s="161"/>
      <c r="IC22" s="161"/>
      <c r="ID22" s="161"/>
      <c r="IE22" s="161"/>
      <c r="IF22" s="161"/>
      <c r="IG22" s="161"/>
      <c r="IH22" s="161"/>
      <c r="II22" s="161"/>
      <c r="IJ22" s="161"/>
      <c r="IK22" s="161"/>
      <c r="IL22" s="161"/>
      <c r="IM22" s="161"/>
      <c r="IN22" s="161"/>
      <c r="IO22" s="161"/>
      <c r="IP22" s="161"/>
      <c r="IQ22" s="161"/>
      <c r="IR22" s="161"/>
      <c r="IS22" s="161"/>
      <c r="IT22" s="161"/>
    </row>
    <row r="23" s="127" customFormat="true" ht="29.1" customHeight="true" spans="1:254">
      <c r="A23" s="164"/>
      <c r="B23" s="164"/>
      <c r="C23" s="164" t="s">
        <v>241</v>
      </c>
      <c r="D23" s="164"/>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1"/>
      <c r="DD23" s="161"/>
      <c r="DE23" s="161"/>
      <c r="DF23" s="161"/>
      <c r="DG23" s="161"/>
      <c r="DH23" s="161"/>
      <c r="DI23" s="161"/>
      <c r="DJ23" s="161"/>
      <c r="DK23" s="161"/>
      <c r="DL23" s="161"/>
      <c r="DM23" s="161"/>
      <c r="DN23" s="161"/>
      <c r="DO23" s="161"/>
      <c r="DP23" s="161"/>
      <c r="DQ23" s="161"/>
      <c r="DR23" s="161"/>
      <c r="DS23" s="161"/>
      <c r="DT23" s="161"/>
      <c r="DU23" s="161"/>
      <c r="DV23" s="161"/>
      <c r="DW23" s="161"/>
      <c r="DX23" s="161"/>
      <c r="DY23" s="161"/>
      <c r="DZ23" s="161"/>
      <c r="EA23" s="161"/>
      <c r="EB23" s="161"/>
      <c r="EC23" s="161"/>
      <c r="ED23" s="161"/>
      <c r="EE23" s="161"/>
      <c r="EF23" s="161"/>
      <c r="EG23" s="161"/>
      <c r="EH23" s="161"/>
      <c r="EI23" s="161"/>
      <c r="EJ23" s="161"/>
      <c r="EK23" s="161"/>
      <c r="EL23" s="161"/>
      <c r="EM23" s="161"/>
      <c r="EN23" s="161"/>
      <c r="EO23" s="161"/>
      <c r="EP23" s="161"/>
      <c r="EQ23" s="161"/>
      <c r="ER23" s="161"/>
      <c r="ES23" s="161"/>
      <c r="ET23" s="161"/>
      <c r="EU23" s="161"/>
      <c r="EV23" s="161"/>
      <c r="EW23" s="161"/>
      <c r="EX23" s="161"/>
      <c r="EY23" s="161"/>
      <c r="EZ23" s="161"/>
      <c r="FA23" s="161"/>
      <c r="FB23" s="161"/>
      <c r="FC23" s="161"/>
      <c r="FD23" s="161"/>
      <c r="FE23" s="161"/>
      <c r="FF23" s="161"/>
      <c r="FG23" s="161"/>
      <c r="FH23" s="161"/>
      <c r="FI23" s="161"/>
      <c r="FJ23" s="161"/>
      <c r="FK23" s="161"/>
      <c r="FL23" s="161"/>
      <c r="FM23" s="161"/>
      <c r="FN23" s="161"/>
      <c r="FO23" s="161"/>
      <c r="FP23" s="161"/>
      <c r="FQ23" s="161"/>
      <c r="FR23" s="161"/>
      <c r="FS23" s="161"/>
      <c r="FT23" s="161"/>
      <c r="FU23" s="161"/>
      <c r="FV23" s="161"/>
      <c r="FW23" s="161"/>
      <c r="FX23" s="161"/>
      <c r="FY23" s="161"/>
      <c r="FZ23" s="161"/>
      <c r="GA23" s="161"/>
      <c r="GB23" s="161"/>
      <c r="GC23" s="161"/>
      <c r="GD23" s="161"/>
      <c r="GE23" s="161"/>
      <c r="GF23" s="161"/>
      <c r="GG23" s="161"/>
      <c r="GH23" s="161"/>
      <c r="GI23" s="161"/>
      <c r="GJ23" s="161"/>
      <c r="GK23" s="161"/>
      <c r="GL23" s="161"/>
      <c r="GM23" s="161"/>
      <c r="GN23" s="161"/>
      <c r="GO23" s="161"/>
      <c r="GP23" s="161"/>
      <c r="GQ23" s="161"/>
      <c r="GR23" s="161"/>
      <c r="GS23" s="161"/>
      <c r="GT23" s="161"/>
      <c r="GU23" s="161"/>
      <c r="GV23" s="161"/>
      <c r="GW23" s="161"/>
      <c r="GX23" s="161"/>
      <c r="GY23" s="161"/>
      <c r="GZ23" s="161"/>
      <c r="HA23" s="161"/>
      <c r="HB23" s="161"/>
      <c r="HC23" s="161"/>
      <c r="HD23" s="161"/>
      <c r="HE23" s="161"/>
      <c r="HF23" s="161"/>
      <c r="HG23" s="161"/>
      <c r="HH23" s="161"/>
      <c r="HI23" s="161"/>
      <c r="HJ23" s="161"/>
      <c r="HK23" s="161"/>
      <c r="HL23" s="161"/>
      <c r="HM23" s="161"/>
      <c r="HN23" s="161"/>
      <c r="HO23" s="161"/>
      <c r="HP23" s="161"/>
      <c r="HQ23" s="161"/>
      <c r="HR23" s="161"/>
      <c r="HS23" s="161"/>
      <c r="HT23" s="161"/>
      <c r="HU23" s="161"/>
      <c r="HV23" s="161"/>
      <c r="HW23" s="161"/>
      <c r="HX23" s="161"/>
      <c r="HY23" s="161"/>
      <c r="HZ23" s="161"/>
      <c r="IA23" s="161"/>
      <c r="IB23" s="161"/>
      <c r="IC23" s="161"/>
      <c r="ID23" s="161"/>
      <c r="IE23" s="161"/>
      <c r="IF23" s="161"/>
      <c r="IG23" s="161"/>
      <c r="IH23" s="161"/>
      <c r="II23" s="161"/>
      <c r="IJ23" s="161"/>
      <c r="IK23" s="161"/>
      <c r="IL23" s="161"/>
      <c r="IM23" s="161"/>
      <c r="IN23" s="161"/>
      <c r="IO23" s="161"/>
      <c r="IP23" s="161"/>
      <c r="IQ23" s="161"/>
      <c r="IR23" s="161"/>
      <c r="IS23" s="161"/>
      <c r="IT23" s="161"/>
    </row>
    <row r="24" s="145" customFormat="true" ht="29.1" customHeight="true" spans="1:254">
      <c r="A24" s="163" t="s">
        <v>67</v>
      </c>
      <c r="B24" s="163">
        <f>B19+B20+B21+B22</f>
        <v>235</v>
      </c>
      <c r="C24" s="163" t="s">
        <v>242</v>
      </c>
      <c r="D24" s="165">
        <f>D19+D20+D21+D22+D23</f>
        <v>235</v>
      </c>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c r="GT24" s="144"/>
      <c r="GU24" s="144"/>
      <c r="GV24" s="144"/>
      <c r="GW24" s="144"/>
      <c r="GX24" s="144"/>
      <c r="GY24" s="144"/>
      <c r="GZ24" s="144"/>
      <c r="HA24" s="144"/>
      <c r="HB24" s="144"/>
      <c r="HC24" s="144"/>
      <c r="HD24" s="144"/>
      <c r="HE24" s="144"/>
      <c r="HF24" s="144"/>
      <c r="HG24" s="144"/>
      <c r="HH24" s="144"/>
      <c r="HI24" s="144"/>
      <c r="HJ24" s="144"/>
      <c r="HK24" s="144"/>
      <c r="HL24" s="144"/>
      <c r="HM24" s="144"/>
      <c r="HN24" s="144"/>
      <c r="HO24" s="144"/>
      <c r="HP24" s="144"/>
      <c r="HQ24" s="144"/>
      <c r="HR24" s="144"/>
      <c r="HS24" s="144"/>
      <c r="HT24" s="144"/>
      <c r="HU24" s="144"/>
      <c r="HV24" s="144"/>
      <c r="HW24" s="144"/>
      <c r="HX24" s="144"/>
      <c r="HY24" s="144"/>
      <c r="HZ24" s="144"/>
      <c r="IA24" s="144"/>
      <c r="IB24" s="144"/>
      <c r="IC24" s="144"/>
      <c r="ID24" s="144"/>
      <c r="IE24" s="144"/>
      <c r="IF24" s="144"/>
      <c r="IG24" s="144"/>
      <c r="IH24" s="144"/>
      <c r="II24" s="167"/>
      <c r="IJ24" s="167"/>
      <c r="IK24" s="167"/>
      <c r="IL24" s="167"/>
      <c r="IM24" s="167"/>
      <c r="IN24" s="167"/>
      <c r="IO24" s="167"/>
      <c r="IP24" s="167"/>
      <c r="IQ24" s="167"/>
      <c r="IR24" s="167"/>
      <c r="IS24" s="167"/>
      <c r="IT24" s="167"/>
    </row>
    <row r="25" s="160" customFormat="true" ht="22.5" customHeight="true" spans="1:242">
      <c r="A25" s="130"/>
      <c r="B25" s="130"/>
      <c r="C25" s="130"/>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6"/>
      <c r="CU25" s="166"/>
      <c r="CV25" s="166"/>
      <c r="CW25" s="166"/>
      <c r="CX25" s="166"/>
      <c r="CY25" s="166"/>
      <c r="CZ25" s="166"/>
      <c r="DA25" s="166"/>
      <c r="DB25" s="166"/>
      <c r="DC25" s="166"/>
      <c r="DD25" s="166"/>
      <c r="DE25" s="166"/>
      <c r="DF25" s="166"/>
      <c r="DG25" s="166"/>
      <c r="DH25" s="166"/>
      <c r="DI25" s="166"/>
      <c r="DJ25" s="166"/>
      <c r="DK25" s="166"/>
      <c r="DL25" s="166"/>
      <c r="DM25" s="166"/>
      <c r="DN25" s="166"/>
      <c r="DO25" s="166"/>
      <c r="DP25" s="166"/>
      <c r="DQ25" s="166"/>
      <c r="DR25" s="166"/>
      <c r="DS25" s="166"/>
      <c r="DT25" s="166"/>
      <c r="DU25" s="166"/>
      <c r="DV25" s="166"/>
      <c r="DW25" s="166"/>
      <c r="DX25" s="166"/>
      <c r="DY25" s="166"/>
      <c r="DZ25" s="166"/>
      <c r="EA25" s="166"/>
      <c r="EB25" s="166"/>
      <c r="EC25" s="166"/>
      <c r="ED25" s="166"/>
      <c r="EE25" s="166"/>
      <c r="EF25" s="166"/>
      <c r="EG25" s="166"/>
      <c r="EH25" s="166"/>
      <c r="EI25" s="166"/>
      <c r="EJ25" s="166"/>
      <c r="EK25" s="166"/>
      <c r="EL25" s="166"/>
      <c r="EM25" s="166"/>
      <c r="EN25" s="166"/>
      <c r="EO25" s="166"/>
      <c r="EP25" s="166"/>
      <c r="EQ25" s="166"/>
      <c r="ER25" s="166"/>
      <c r="ES25" s="166"/>
      <c r="ET25" s="166"/>
      <c r="EU25" s="166"/>
      <c r="EV25" s="166"/>
      <c r="EW25" s="166"/>
      <c r="EX25" s="166"/>
      <c r="EY25" s="166"/>
      <c r="EZ25" s="166"/>
      <c r="FA25" s="166"/>
      <c r="FB25" s="166"/>
      <c r="FC25" s="166"/>
      <c r="FD25" s="166"/>
      <c r="FE25" s="166"/>
      <c r="FF25" s="166"/>
      <c r="FG25" s="166"/>
      <c r="FH25" s="166"/>
      <c r="FI25" s="166"/>
      <c r="FJ25" s="166"/>
      <c r="FK25" s="166"/>
      <c r="FL25" s="166"/>
      <c r="FM25" s="166"/>
      <c r="FN25" s="166"/>
      <c r="FO25" s="166"/>
      <c r="FP25" s="166"/>
      <c r="FQ25" s="166"/>
      <c r="FR25" s="166"/>
      <c r="FS25" s="166"/>
      <c r="FT25" s="166"/>
      <c r="FU25" s="166"/>
      <c r="FV25" s="166"/>
      <c r="FW25" s="166"/>
      <c r="FX25" s="166"/>
      <c r="FY25" s="166"/>
      <c r="FZ25" s="166"/>
      <c r="GA25" s="166"/>
      <c r="GB25" s="166"/>
      <c r="GC25" s="166"/>
      <c r="GD25" s="166"/>
      <c r="GE25" s="166"/>
      <c r="GF25" s="166"/>
      <c r="GG25" s="166"/>
      <c r="GH25" s="166"/>
      <c r="GI25" s="166"/>
      <c r="GJ25" s="166"/>
      <c r="GK25" s="166"/>
      <c r="GL25" s="166"/>
      <c r="GM25" s="166"/>
      <c r="GN25" s="166"/>
      <c r="GO25" s="166"/>
      <c r="GP25" s="166"/>
      <c r="GQ25" s="166"/>
      <c r="GR25" s="166"/>
      <c r="GS25" s="166"/>
      <c r="GT25" s="166"/>
      <c r="GU25" s="166"/>
      <c r="GV25" s="166"/>
      <c r="GW25" s="166"/>
      <c r="GX25" s="166"/>
      <c r="GY25" s="166"/>
      <c r="GZ25" s="166"/>
      <c r="HA25" s="166"/>
      <c r="HB25" s="166"/>
      <c r="HC25" s="166"/>
      <c r="HD25" s="166"/>
      <c r="HE25" s="166"/>
      <c r="HF25" s="166"/>
      <c r="HG25" s="166"/>
      <c r="HH25" s="166"/>
      <c r="HI25" s="166"/>
      <c r="HJ25" s="166"/>
      <c r="HK25" s="166"/>
      <c r="HL25" s="166"/>
      <c r="HM25" s="166"/>
      <c r="HN25" s="166"/>
      <c r="HO25" s="166"/>
      <c r="HP25" s="166"/>
      <c r="HQ25" s="166"/>
      <c r="HR25" s="166"/>
      <c r="HS25" s="166"/>
      <c r="HT25" s="166"/>
      <c r="HU25" s="166"/>
      <c r="HV25" s="166"/>
      <c r="HW25" s="166"/>
      <c r="HX25" s="166"/>
      <c r="HY25" s="166"/>
      <c r="HZ25" s="166"/>
      <c r="IA25" s="166"/>
      <c r="IB25" s="166"/>
      <c r="IC25" s="166"/>
      <c r="ID25" s="166"/>
      <c r="IE25" s="166"/>
      <c r="IF25" s="166"/>
      <c r="IG25" s="166"/>
      <c r="IH25" s="166"/>
    </row>
    <row r="26" ht="22.5" customHeight="true"/>
  </sheetData>
  <mergeCells count="3">
    <mergeCell ref="A2:D2"/>
    <mergeCell ref="A4:B4"/>
    <mergeCell ref="C4:D4"/>
  </mergeCells>
  <printOptions horizontalCentered="true"/>
  <pageMargins left="0.35" right="0.35" top="0.629861111111111" bottom="0.590277777777778" header="0.468055555555556" footer="0.550694444444444"/>
  <pageSetup paperSize="9" firstPageNumber="7" orientation="portrait" useFirstPageNumber="true" horizontalDpi="600" verticalDpi="600"/>
  <headerFooter alignWithMargins="0" scaleWithDoc="0">
    <oddFooter>&amp;C&amp;"Arial"&amp;10第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7"/>
  <sheetViews>
    <sheetView showGridLines="0" showZeros="0" zoomScale="85" zoomScaleNormal="85" workbookViewId="0">
      <pane xSplit="1" ySplit="4" topLeftCell="B5" activePane="bottomRight" state="frozen"/>
      <selection/>
      <selection pane="topRight"/>
      <selection pane="bottomLeft"/>
      <selection pane="bottomRight" activeCell="N24" sqref="N24"/>
    </sheetView>
  </sheetViews>
  <sheetFormatPr defaultColWidth="7.875" defaultRowHeight="14.25"/>
  <cols>
    <col min="1" max="1" width="45" style="556" customWidth="true"/>
    <col min="2" max="2" width="14" style="556" customWidth="true"/>
    <col min="3" max="4" width="13" style="556" customWidth="true"/>
    <col min="5" max="10" width="13" style="556" hidden="true" customWidth="true"/>
    <col min="11" max="11" width="35.1666666666667" style="556" customWidth="true"/>
    <col min="12" max="12" width="13.3333333333333" style="556" customWidth="true"/>
    <col min="13" max="13" width="13.375" style="556" customWidth="true"/>
    <col min="14" max="14" width="13.375" style="559" customWidth="true"/>
    <col min="15" max="15" width="12.75" style="556" hidden="true" customWidth="true"/>
    <col min="16" max="16" width="12.8333333333333" style="556" hidden="true" customWidth="true"/>
    <col min="17" max="17" width="12.325" style="556" hidden="true" customWidth="true"/>
    <col min="18" max="19" width="11.625" style="556" hidden="true" customWidth="true"/>
    <col min="20" max="20" width="13.1666666666667" style="556" hidden="true" customWidth="true"/>
    <col min="21" max="21" width="7.875" style="556" hidden="true" customWidth="true"/>
    <col min="22" max="214" width="7.875" style="556"/>
    <col min="215" max="16374" width="7.875" style="127"/>
    <col min="16376" max="16384" width="7.875" style="127"/>
  </cols>
  <sheetData>
    <row r="1" s="556" customFormat="true" ht="18" customHeight="true" spans="1:14">
      <c r="A1" s="557" t="s">
        <v>1</v>
      </c>
      <c r="B1" s="557"/>
      <c r="C1" s="557"/>
      <c r="D1" s="557"/>
      <c r="N1" s="559"/>
    </row>
    <row r="2" s="557" customFormat="true" ht="22.5" customHeight="true" spans="1:15">
      <c r="A2" s="560" t="s">
        <v>2</v>
      </c>
      <c r="B2" s="560"/>
      <c r="C2" s="560"/>
      <c r="D2" s="560"/>
      <c r="E2" s="560"/>
      <c r="F2" s="560"/>
      <c r="G2" s="560"/>
      <c r="H2" s="560"/>
      <c r="I2" s="560"/>
      <c r="J2" s="560"/>
      <c r="K2" s="560"/>
      <c r="L2" s="560"/>
      <c r="M2" s="560"/>
      <c r="N2" s="597"/>
      <c r="O2" s="560"/>
    </row>
    <row r="3" s="556" customFormat="true" ht="19" customHeight="true" spans="1:15">
      <c r="A3" s="557"/>
      <c r="B3" s="557"/>
      <c r="C3" s="557"/>
      <c r="D3" s="557"/>
      <c r="K3" s="581"/>
      <c r="L3" s="581"/>
      <c r="M3" s="598" t="s">
        <v>3</v>
      </c>
      <c r="N3" s="599"/>
      <c r="O3" s="598"/>
    </row>
    <row r="4" s="556" customFormat="true" ht="27.75" customHeight="true" spans="1:20">
      <c r="A4" s="561" t="s">
        <v>4</v>
      </c>
      <c r="B4" s="466" t="s">
        <v>5</v>
      </c>
      <c r="C4" s="562"/>
      <c r="D4" s="467"/>
      <c r="E4" s="571" t="s">
        <v>6</v>
      </c>
      <c r="F4" s="572" t="s">
        <v>7</v>
      </c>
      <c r="G4" s="132" t="s">
        <v>8</v>
      </c>
      <c r="H4" s="132" t="s">
        <v>9</v>
      </c>
      <c r="I4" s="582" t="s">
        <v>10</v>
      </c>
      <c r="J4" s="466" t="s">
        <v>11</v>
      </c>
      <c r="K4" s="561" t="s">
        <v>4</v>
      </c>
      <c r="L4" s="583" t="s">
        <v>5</v>
      </c>
      <c r="M4" s="600"/>
      <c r="N4" s="506"/>
      <c r="O4" s="571" t="s">
        <v>6</v>
      </c>
      <c r="P4" s="572" t="s">
        <v>7</v>
      </c>
      <c r="Q4" s="572" t="s">
        <v>8</v>
      </c>
      <c r="R4" s="132" t="s">
        <v>9</v>
      </c>
      <c r="S4" s="606" t="s">
        <v>10</v>
      </c>
      <c r="T4" s="132" t="s">
        <v>11</v>
      </c>
    </row>
    <row r="5" s="556" customFormat="true" ht="40" customHeight="true" spans="1:20">
      <c r="A5" s="563"/>
      <c r="B5" s="564" t="s">
        <v>12</v>
      </c>
      <c r="C5" s="132" t="s">
        <v>13</v>
      </c>
      <c r="D5" s="132" t="s">
        <v>14</v>
      </c>
      <c r="E5" s="132" t="s">
        <v>13</v>
      </c>
      <c r="F5" s="572" t="s">
        <v>13</v>
      </c>
      <c r="G5" s="132" t="s">
        <v>13</v>
      </c>
      <c r="H5" s="132" t="s">
        <v>13</v>
      </c>
      <c r="I5" s="132" t="s">
        <v>13</v>
      </c>
      <c r="J5" s="132" t="s">
        <v>13</v>
      </c>
      <c r="K5" s="563"/>
      <c r="L5" s="564" t="s">
        <v>12</v>
      </c>
      <c r="M5" s="132" t="s">
        <v>13</v>
      </c>
      <c r="N5" s="132" t="s">
        <v>14</v>
      </c>
      <c r="O5" s="132" t="s">
        <v>13</v>
      </c>
      <c r="P5" s="572" t="s">
        <v>13</v>
      </c>
      <c r="Q5" s="572" t="s">
        <v>13</v>
      </c>
      <c r="R5" s="132" t="s">
        <v>13</v>
      </c>
      <c r="S5" s="572" t="s">
        <v>13</v>
      </c>
      <c r="T5" s="132" t="s">
        <v>13</v>
      </c>
    </row>
    <row r="6" s="556" customFormat="true" ht="27.75" customHeight="true" spans="1:20">
      <c r="A6" s="565" t="s">
        <v>15</v>
      </c>
      <c r="B6" s="505">
        <f t="shared" ref="B6:F6" si="0">SUM(B7:B23)</f>
        <v>103607</v>
      </c>
      <c r="C6" s="505">
        <f t="shared" ref="C6:C23" si="1">E6+F6+G6+H6+I6+J6</f>
        <v>110205</v>
      </c>
      <c r="D6" s="566">
        <f t="shared" ref="D6:D9" si="2">(C6/B6-1)</f>
        <v>0.0636829557848408</v>
      </c>
      <c r="E6" s="573">
        <f t="shared" si="0"/>
        <v>41200</v>
      </c>
      <c r="F6" s="573">
        <f t="shared" si="0"/>
        <v>12900</v>
      </c>
      <c r="G6" s="574">
        <v>13000</v>
      </c>
      <c r="H6" s="575">
        <f>SUM(H7:H23)</f>
        <v>7555</v>
      </c>
      <c r="I6" s="575">
        <f>SUM(I7:I23)</f>
        <v>5050</v>
      </c>
      <c r="J6" s="584">
        <f>SUM(J7:J23)</f>
        <v>30500</v>
      </c>
      <c r="K6" s="585" t="s">
        <v>16</v>
      </c>
      <c r="L6" s="586">
        <v>165947</v>
      </c>
      <c r="M6" s="594">
        <f t="shared" ref="M6:M33" si="3">O6+P6+Q6+R6+S6+T6</f>
        <v>155124</v>
      </c>
      <c r="N6" s="566">
        <f t="shared" ref="N6:N21" si="4">(M6/L6-1)</f>
        <v>-0.0652196183118706</v>
      </c>
      <c r="O6" s="601">
        <v>30382</v>
      </c>
      <c r="P6" s="602">
        <v>28484</v>
      </c>
      <c r="Q6" s="607">
        <v>35861</v>
      </c>
      <c r="R6" s="608">
        <v>17178</v>
      </c>
      <c r="S6" s="609">
        <v>16791</v>
      </c>
      <c r="T6" s="603">
        <v>26428</v>
      </c>
    </row>
    <row r="7" s="556" customFormat="true" ht="27.75" customHeight="true" spans="1:20">
      <c r="A7" s="567" t="s">
        <v>17</v>
      </c>
      <c r="B7" s="448">
        <v>36995</v>
      </c>
      <c r="C7" s="448">
        <f t="shared" si="1"/>
        <v>45083</v>
      </c>
      <c r="D7" s="568">
        <f t="shared" si="2"/>
        <v>0.218624138397081</v>
      </c>
      <c r="E7" s="448">
        <v>13719</v>
      </c>
      <c r="F7" s="511">
        <v>5316</v>
      </c>
      <c r="G7" s="448">
        <v>4450</v>
      </c>
      <c r="H7" s="448">
        <v>2648</v>
      </c>
      <c r="I7" s="448">
        <v>1400</v>
      </c>
      <c r="J7" s="587">
        <v>17550</v>
      </c>
      <c r="K7" s="588" t="s">
        <v>18</v>
      </c>
      <c r="L7" s="586">
        <v>0</v>
      </c>
      <c r="M7" s="594">
        <f t="shared" si="3"/>
        <v>0</v>
      </c>
      <c r="N7" s="568">
        <f>P7+Q7+R7+S7+T7+U7</f>
        <v>0</v>
      </c>
      <c r="O7" s="603"/>
      <c r="P7" s="604"/>
      <c r="Q7" s="607"/>
      <c r="R7" s="608"/>
      <c r="S7" s="609">
        <v>0</v>
      </c>
      <c r="T7" s="603">
        <v>0</v>
      </c>
    </row>
    <row r="8" s="556" customFormat="true" ht="27.75" customHeight="true" spans="1:20">
      <c r="A8" s="567" t="s">
        <v>19</v>
      </c>
      <c r="B8" s="448"/>
      <c r="C8" s="448">
        <f t="shared" si="1"/>
        <v>0</v>
      </c>
      <c r="D8" s="568"/>
      <c r="E8" s="448"/>
      <c r="F8" s="511">
        <v>0</v>
      </c>
      <c r="G8" s="448"/>
      <c r="H8" s="448"/>
      <c r="I8" s="448"/>
      <c r="J8" s="587"/>
      <c r="K8" s="588" t="s">
        <v>20</v>
      </c>
      <c r="L8" s="586">
        <v>548</v>
      </c>
      <c r="M8" s="594">
        <f t="shared" si="3"/>
        <v>297</v>
      </c>
      <c r="N8" s="568">
        <f t="shared" si="4"/>
        <v>-0.458029197080292</v>
      </c>
      <c r="O8" s="603">
        <v>60</v>
      </c>
      <c r="P8" s="604">
        <v>49</v>
      </c>
      <c r="Q8" s="607">
        <v>80</v>
      </c>
      <c r="R8" s="608">
        <v>30</v>
      </c>
      <c r="S8" s="609">
        <v>30</v>
      </c>
      <c r="T8" s="603">
        <v>48</v>
      </c>
    </row>
    <row r="9" s="556" customFormat="true" ht="27.75" customHeight="true" spans="1:20">
      <c r="A9" s="567" t="s">
        <v>21</v>
      </c>
      <c r="B9" s="448">
        <v>11633</v>
      </c>
      <c r="C9" s="448">
        <f t="shared" si="1"/>
        <v>14213</v>
      </c>
      <c r="D9" s="568">
        <f t="shared" si="2"/>
        <v>0.221782859107711</v>
      </c>
      <c r="E9" s="448">
        <v>3524</v>
      </c>
      <c r="F9" s="511">
        <v>2363</v>
      </c>
      <c r="G9" s="448">
        <v>1250</v>
      </c>
      <c r="H9" s="448">
        <v>323</v>
      </c>
      <c r="I9" s="448">
        <v>1000</v>
      </c>
      <c r="J9" s="587">
        <v>5753</v>
      </c>
      <c r="K9" s="588" t="s">
        <v>22</v>
      </c>
      <c r="L9" s="586">
        <v>71578</v>
      </c>
      <c r="M9" s="594">
        <f t="shared" si="3"/>
        <v>61567</v>
      </c>
      <c r="N9" s="568">
        <f t="shared" si="4"/>
        <v>-0.139861409930426</v>
      </c>
      <c r="O9" s="603">
        <f>3058+17604+2</f>
        <v>20664</v>
      </c>
      <c r="P9" s="604">
        <v>2308</v>
      </c>
      <c r="Q9" s="607">
        <v>16786</v>
      </c>
      <c r="R9" s="608">
        <v>6768</v>
      </c>
      <c r="S9" s="609">
        <v>5908</v>
      </c>
      <c r="T9" s="603">
        <v>9133</v>
      </c>
    </row>
    <row r="10" s="556" customFormat="true" ht="27.75" customHeight="true" spans="1:20">
      <c r="A10" s="567" t="s">
        <v>23</v>
      </c>
      <c r="B10" s="448">
        <v>0</v>
      </c>
      <c r="C10" s="448">
        <f t="shared" si="1"/>
        <v>0</v>
      </c>
      <c r="D10" s="568"/>
      <c r="E10" s="448"/>
      <c r="F10" s="511">
        <v>0</v>
      </c>
      <c r="G10" s="448"/>
      <c r="H10" s="448"/>
      <c r="I10" s="448"/>
      <c r="J10" s="587"/>
      <c r="K10" s="588" t="s">
        <v>24</v>
      </c>
      <c r="L10" s="586">
        <v>417346</v>
      </c>
      <c r="M10" s="594">
        <f t="shared" si="3"/>
        <v>355727</v>
      </c>
      <c r="N10" s="568">
        <f t="shared" si="4"/>
        <v>-0.147644879787994</v>
      </c>
      <c r="O10" s="603">
        <v>45356</v>
      </c>
      <c r="P10" s="604">
        <v>77226</v>
      </c>
      <c r="Q10" s="607">
        <v>119157</v>
      </c>
      <c r="R10" s="608">
        <v>33822</v>
      </c>
      <c r="S10" s="609">
        <v>27750</v>
      </c>
      <c r="T10" s="603">
        <v>52416</v>
      </c>
    </row>
    <row r="11" s="556" customFormat="true" ht="27.75" customHeight="true" spans="1:20">
      <c r="A11" s="567" t="s">
        <v>25</v>
      </c>
      <c r="B11" s="448">
        <v>3419</v>
      </c>
      <c r="C11" s="448">
        <f t="shared" si="1"/>
        <v>3679</v>
      </c>
      <c r="D11" s="568">
        <f t="shared" ref="D11:D27" si="5">(C11/B11-1)</f>
        <v>0.0760456273764258</v>
      </c>
      <c r="E11" s="448">
        <v>1458</v>
      </c>
      <c r="F11" s="511">
        <v>412</v>
      </c>
      <c r="G11" s="448">
        <v>650</v>
      </c>
      <c r="H11" s="448">
        <v>319</v>
      </c>
      <c r="I11" s="448">
        <v>250</v>
      </c>
      <c r="J11" s="587">
        <v>590</v>
      </c>
      <c r="K11" s="588" t="s">
        <v>26</v>
      </c>
      <c r="L11" s="586">
        <v>15952</v>
      </c>
      <c r="M11" s="594">
        <f t="shared" si="3"/>
        <v>10527</v>
      </c>
      <c r="N11" s="568">
        <f t="shared" si="4"/>
        <v>-0.340082748244734</v>
      </c>
      <c r="O11" s="603">
        <v>3100</v>
      </c>
      <c r="P11" s="604">
        <v>507</v>
      </c>
      <c r="Q11" s="607">
        <v>2410</v>
      </c>
      <c r="R11" s="608">
        <v>672</v>
      </c>
      <c r="S11" s="609">
        <v>1798</v>
      </c>
      <c r="T11" s="603">
        <v>2040</v>
      </c>
    </row>
    <row r="12" s="556" customFormat="true" ht="27.75" customHeight="true" spans="1:20">
      <c r="A12" s="567" t="s">
        <v>27</v>
      </c>
      <c r="B12" s="448">
        <v>0</v>
      </c>
      <c r="C12" s="448">
        <f t="shared" si="1"/>
        <v>0</v>
      </c>
      <c r="D12" s="568"/>
      <c r="E12" s="448"/>
      <c r="F12" s="511">
        <v>0</v>
      </c>
      <c r="G12" s="448"/>
      <c r="H12" s="448"/>
      <c r="I12" s="448"/>
      <c r="J12" s="587"/>
      <c r="K12" s="588" t="s">
        <v>28</v>
      </c>
      <c r="L12" s="586">
        <v>40431</v>
      </c>
      <c r="M12" s="594">
        <f t="shared" si="3"/>
        <v>31511</v>
      </c>
      <c r="N12" s="568">
        <f t="shared" si="4"/>
        <v>-0.220622789443744</v>
      </c>
      <c r="O12" s="603">
        <v>9244</v>
      </c>
      <c r="P12" s="604">
        <v>4121</v>
      </c>
      <c r="Q12" s="607">
        <v>8100</v>
      </c>
      <c r="R12" s="608">
        <v>2393</v>
      </c>
      <c r="S12" s="609">
        <v>3512</v>
      </c>
      <c r="T12" s="603">
        <v>4141</v>
      </c>
    </row>
    <row r="13" s="556" customFormat="true" ht="27.75" customHeight="true" spans="1:20">
      <c r="A13" s="567" t="s">
        <v>29</v>
      </c>
      <c r="B13" s="448">
        <v>8006</v>
      </c>
      <c r="C13" s="448">
        <f t="shared" si="1"/>
        <v>8254</v>
      </c>
      <c r="D13" s="568">
        <f t="shared" si="5"/>
        <v>0.0309767674244317</v>
      </c>
      <c r="E13" s="448">
        <v>4584</v>
      </c>
      <c r="F13" s="511">
        <v>0</v>
      </c>
      <c r="G13" s="448">
        <v>680</v>
      </c>
      <c r="H13" s="448">
        <v>340</v>
      </c>
      <c r="I13" s="448">
        <v>200</v>
      </c>
      <c r="J13" s="587">
        <v>2450</v>
      </c>
      <c r="K13" s="588" t="s">
        <v>30</v>
      </c>
      <c r="L13" s="586">
        <v>392338</v>
      </c>
      <c r="M13" s="594">
        <f t="shared" si="3"/>
        <v>369234</v>
      </c>
      <c r="N13" s="568">
        <f t="shared" si="4"/>
        <v>-0.0588879996329695</v>
      </c>
      <c r="O13" s="603">
        <v>54977</v>
      </c>
      <c r="P13" s="604">
        <v>76766</v>
      </c>
      <c r="Q13" s="607">
        <v>99152</v>
      </c>
      <c r="R13" s="608">
        <v>41339</v>
      </c>
      <c r="S13" s="609">
        <v>32816</v>
      </c>
      <c r="T13" s="603">
        <v>64184</v>
      </c>
    </row>
    <row r="14" s="556" customFormat="true" ht="27.75" customHeight="true" spans="1:20">
      <c r="A14" s="567" t="s">
        <v>31</v>
      </c>
      <c r="B14" s="448">
        <v>5324</v>
      </c>
      <c r="C14" s="448">
        <f t="shared" si="1"/>
        <v>4759</v>
      </c>
      <c r="D14" s="568">
        <f t="shared" si="5"/>
        <v>-0.106123215627348</v>
      </c>
      <c r="E14" s="448">
        <v>2509</v>
      </c>
      <c r="F14" s="511">
        <v>0</v>
      </c>
      <c r="G14" s="448">
        <v>300</v>
      </c>
      <c r="H14" s="448">
        <v>500</v>
      </c>
      <c r="I14" s="448">
        <v>200</v>
      </c>
      <c r="J14" s="587">
        <v>1250</v>
      </c>
      <c r="K14" s="588" t="s">
        <v>32</v>
      </c>
      <c r="L14" s="586">
        <v>268353</v>
      </c>
      <c r="M14" s="594">
        <f t="shared" si="3"/>
        <v>224071</v>
      </c>
      <c r="N14" s="568">
        <f t="shared" si="4"/>
        <v>-0.165013992763263</v>
      </c>
      <c r="O14" s="603">
        <f>97402+20362</f>
        <v>117764</v>
      </c>
      <c r="P14" s="604">
        <v>20574</v>
      </c>
      <c r="Q14" s="607">
        <v>35000</v>
      </c>
      <c r="R14" s="608">
        <v>14948</v>
      </c>
      <c r="S14" s="609">
        <v>14416</v>
      </c>
      <c r="T14" s="603">
        <v>21369</v>
      </c>
    </row>
    <row r="15" s="556" customFormat="true" ht="27.75" customHeight="true" spans="1:20">
      <c r="A15" s="567" t="s">
        <v>33</v>
      </c>
      <c r="B15" s="448">
        <v>2835</v>
      </c>
      <c r="C15" s="448">
        <f t="shared" si="1"/>
        <v>2862</v>
      </c>
      <c r="D15" s="568">
        <f t="shared" si="5"/>
        <v>0.00952380952380949</v>
      </c>
      <c r="E15" s="448">
        <v>698</v>
      </c>
      <c r="F15" s="511">
        <v>844</v>
      </c>
      <c r="G15" s="448">
        <v>280</v>
      </c>
      <c r="H15" s="448">
        <v>200</v>
      </c>
      <c r="I15" s="448">
        <v>150</v>
      </c>
      <c r="J15" s="587">
        <v>690</v>
      </c>
      <c r="K15" s="588" t="s">
        <v>34</v>
      </c>
      <c r="L15" s="586">
        <v>112352</v>
      </c>
      <c r="M15" s="594">
        <f t="shared" si="3"/>
        <v>72177</v>
      </c>
      <c r="N15" s="568">
        <f t="shared" si="4"/>
        <v>-0.357581529478781</v>
      </c>
      <c r="O15" s="603">
        <v>20477</v>
      </c>
      <c r="P15" s="604">
        <v>10700</v>
      </c>
      <c r="Q15" s="607">
        <v>12154</v>
      </c>
      <c r="R15" s="608">
        <v>6914</v>
      </c>
      <c r="S15" s="609">
        <v>7034</v>
      </c>
      <c r="T15" s="603">
        <v>14898</v>
      </c>
    </row>
    <row r="16" s="556" customFormat="true" ht="27.75" customHeight="true" spans="1:21">
      <c r="A16" s="567" t="s">
        <v>35</v>
      </c>
      <c r="B16" s="448">
        <v>1953</v>
      </c>
      <c r="C16" s="448">
        <f t="shared" si="1"/>
        <v>2184</v>
      </c>
      <c r="D16" s="568">
        <f t="shared" si="5"/>
        <v>0.118279569892473</v>
      </c>
      <c r="E16" s="448">
        <v>1504</v>
      </c>
      <c r="F16" s="511">
        <v>0</v>
      </c>
      <c r="G16" s="448">
        <v>120</v>
      </c>
      <c r="H16" s="448">
        <v>200</v>
      </c>
      <c r="I16" s="448">
        <v>40</v>
      </c>
      <c r="J16" s="587">
        <v>320</v>
      </c>
      <c r="K16" s="588" t="s">
        <v>36</v>
      </c>
      <c r="L16" s="586">
        <v>239656</v>
      </c>
      <c r="M16" s="594">
        <f t="shared" si="3"/>
        <v>138884</v>
      </c>
      <c r="N16" s="568">
        <f t="shared" si="4"/>
        <v>-0.420486029976299</v>
      </c>
      <c r="O16" s="603">
        <f>5922+1800</f>
        <v>7722</v>
      </c>
      <c r="P16" s="604">
        <v>10614</v>
      </c>
      <c r="Q16" s="607">
        <v>68740</v>
      </c>
      <c r="R16" s="608">
        <v>24713</v>
      </c>
      <c r="S16" s="609">
        <v>15651</v>
      </c>
      <c r="T16" s="603">
        <v>11444</v>
      </c>
      <c r="U16" s="556" t="s">
        <v>37</v>
      </c>
    </row>
    <row r="17" s="556" customFormat="true" ht="27.75" customHeight="true" spans="1:20">
      <c r="A17" s="567" t="s">
        <v>38</v>
      </c>
      <c r="B17" s="448">
        <v>3678</v>
      </c>
      <c r="C17" s="448">
        <f t="shared" si="1"/>
        <v>4482</v>
      </c>
      <c r="D17" s="568">
        <f t="shared" si="5"/>
        <v>0.218597063621534</v>
      </c>
      <c r="E17" s="448">
        <v>2687</v>
      </c>
      <c r="F17" s="511">
        <v>0</v>
      </c>
      <c r="G17" s="448">
        <v>950</v>
      </c>
      <c r="H17" s="448">
        <v>220</v>
      </c>
      <c r="I17" s="448"/>
      <c r="J17" s="587">
        <v>625</v>
      </c>
      <c r="K17" s="588" t="s">
        <v>39</v>
      </c>
      <c r="L17" s="586">
        <v>701663</v>
      </c>
      <c r="M17" s="594">
        <f t="shared" si="3"/>
        <v>498037</v>
      </c>
      <c r="N17" s="568">
        <f t="shared" si="4"/>
        <v>-0.29020484192554</v>
      </c>
      <c r="O17" s="603">
        <v>37305</v>
      </c>
      <c r="P17" s="604">
        <v>119778</v>
      </c>
      <c r="Q17" s="607">
        <v>156248</v>
      </c>
      <c r="R17" s="608">
        <v>50866</v>
      </c>
      <c r="S17" s="609">
        <v>43975</v>
      </c>
      <c r="T17" s="603">
        <v>89865</v>
      </c>
    </row>
    <row r="18" s="556" customFormat="true" ht="27.75" customHeight="true" spans="1:20">
      <c r="A18" s="567" t="s">
        <v>40</v>
      </c>
      <c r="B18" s="448">
        <v>7694</v>
      </c>
      <c r="C18" s="448">
        <f t="shared" si="1"/>
        <v>8152</v>
      </c>
      <c r="D18" s="568">
        <f t="shared" si="5"/>
        <v>0.0595269040811022</v>
      </c>
      <c r="E18" s="448">
        <v>262</v>
      </c>
      <c r="F18" s="511">
        <v>3900</v>
      </c>
      <c r="G18" s="448">
        <v>1600</v>
      </c>
      <c r="H18" s="448">
        <v>1000</v>
      </c>
      <c r="I18" s="448">
        <v>450</v>
      </c>
      <c r="J18" s="587">
        <v>940</v>
      </c>
      <c r="K18" s="588" t="s">
        <v>41</v>
      </c>
      <c r="L18" s="586">
        <v>93819</v>
      </c>
      <c r="M18" s="594">
        <f t="shared" si="3"/>
        <v>103223</v>
      </c>
      <c r="N18" s="568">
        <f t="shared" si="4"/>
        <v>0.100235559961202</v>
      </c>
      <c r="O18" s="603">
        <v>2251</v>
      </c>
      <c r="P18" s="604">
        <v>3976</v>
      </c>
      <c r="Q18" s="607">
        <v>75123</v>
      </c>
      <c r="R18" s="608">
        <v>2672</v>
      </c>
      <c r="S18" s="609">
        <v>1944</v>
      </c>
      <c r="T18" s="603">
        <v>17257</v>
      </c>
    </row>
    <row r="19" s="556" customFormat="true" ht="27.75" customHeight="true" spans="1:20">
      <c r="A19" s="567" t="s">
        <v>42</v>
      </c>
      <c r="B19" s="448">
        <v>8447</v>
      </c>
      <c r="C19" s="448">
        <f t="shared" si="1"/>
        <v>3140</v>
      </c>
      <c r="D19" s="568">
        <f t="shared" si="5"/>
        <v>-0.628270391855096</v>
      </c>
      <c r="E19" s="448">
        <v>1025</v>
      </c>
      <c r="F19" s="511">
        <v>20</v>
      </c>
      <c r="G19" s="448">
        <v>1500</v>
      </c>
      <c r="H19" s="448">
        <v>1195</v>
      </c>
      <c r="I19" s="448">
        <f>1000-300</f>
        <v>700</v>
      </c>
      <c r="J19" s="587">
        <v>-1300</v>
      </c>
      <c r="K19" s="589" t="s">
        <v>43</v>
      </c>
      <c r="L19" s="586">
        <v>20333</v>
      </c>
      <c r="M19" s="594">
        <f t="shared" si="3"/>
        <v>7472</v>
      </c>
      <c r="N19" s="568">
        <f t="shared" si="4"/>
        <v>-0.632518565878129</v>
      </c>
      <c r="O19" s="603">
        <f>1761+728</f>
        <v>2489</v>
      </c>
      <c r="P19" s="604"/>
      <c r="Q19" s="607">
        <v>360</v>
      </c>
      <c r="R19" s="608">
        <v>196</v>
      </c>
      <c r="S19" s="609">
        <v>1225</v>
      </c>
      <c r="T19" s="603">
        <v>3202</v>
      </c>
    </row>
    <row r="20" s="556" customFormat="true" ht="27.75" customHeight="true" spans="1:20">
      <c r="A20" s="567" t="s">
        <v>44</v>
      </c>
      <c r="B20" s="448">
        <v>13187</v>
      </c>
      <c r="C20" s="448">
        <f t="shared" si="1"/>
        <v>13024</v>
      </c>
      <c r="D20" s="568">
        <f t="shared" si="5"/>
        <v>-0.0123606582240084</v>
      </c>
      <c r="E20" s="448">
        <f>7915+1200+49</f>
        <v>9164</v>
      </c>
      <c r="F20" s="511">
        <v>0</v>
      </c>
      <c r="G20" s="448">
        <v>1200</v>
      </c>
      <c r="H20" s="448">
        <v>550</v>
      </c>
      <c r="I20" s="448">
        <v>650</v>
      </c>
      <c r="J20" s="587">
        <v>1460</v>
      </c>
      <c r="K20" s="589" t="s">
        <v>45</v>
      </c>
      <c r="L20" s="586">
        <v>11004</v>
      </c>
      <c r="M20" s="594">
        <f t="shared" si="3"/>
        <v>9393</v>
      </c>
      <c r="N20" s="568">
        <f t="shared" si="4"/>
        <v>-0.146401308615049</v>
      </c>
      <c r="O20" s="603">
        <f>899+97</f>
        <v>996</v>
      </c>
      <c r="P20" s="604">
        <v>1561</v>
      </c>
      <c r="Q20" s="607">
        <v>2258</v>
      </c>
      <c r="R20" s="608">
        <v>803</v>
      </c>
      <c r="S20" s="609">
        <v>527</v>
      </c>
      <c r="T20" s="603">
        <v>3248</v>
      </c>
    </row>
    <row r="21" s="556" customFormat="true" ht="27.75" customHeight="true" spans="1:20">
      <c r="A21" s="567" t="s">
        <v>46</v>
      </c>
      <c r="B21" s="448">
        <v>214</v>
      </c>
      <c r="C21" s="448">
        <f t="shared" si="1"/>
        <v>160</v>
      </c>
      <c r="D21" s="568">
        <f t="shared" si="5"/>
        <v>-0.252336448598131</v>
      </c>
      <c r="E21" s="448"/>
      <c r="F21" s="511">
        <v>0</v>
      </c>
      <c r="G21" s="448"/>
      <c r="H21" s="448"/>
      <c r="I21" s="448"/>
      <c r="J21" s="587">
        <v>160</v>
      </c>
      <c r="K21" s="590" t="s">
        <v>47</v>
      </c>
      <c r="L21" s="586">
        <v>351</v>
      </c>
      <c r="M21" s="594">
        <f t="shared" si="3"/>
        <v>184</v>
      </c>
      <c r="N21" s="568">
        <f t="shared" si="4"/>
        <v>-0.475783475783476</v>
      </c>
      <c r="O21" s="603">
        <f>5+179</f>
        <v>184</v>
      </c>
      <c r="P21" s="604"/>
      <c r="Q21" s="607"/>
      <c r="R21" s="608"/>
      <c r="S21" s="609">
        <v>0</v>
      </c>
      <c r="T21" s="603">
        <v>0</v>
      </c>
    </row>
    <row r="22" s="556" customFormat="true" ht="27.75" customHeight="true" spans="1:20">
      <c r="A22" s="567" t="s">
        <v>48</v>
      </c>
      <c r="B22" s="448">
        <v>171</v>
      </c>
      <c r="C22" s="448">
        <f t="shared" si="1"/>
        <v>213</v>
      </c>
      <c r="D22" s="568">
        <f t="shared" si="5"/>
        <v>0.245614035087719</v>
      </c>
      <c r="E22" s="448">
        <v>66</v>
      </c>
      <c r="F22" s="511">
        <v>45</v>
      </c>
      <c r="G22" s="448">
        <v>20</v>
      </c>
      <c r="H22" s="576">
        <v>60</v>
      </c>
      <c r="I22" s="448">
        <v>10</v>
      </c>
      <c r="J22" s="587">
        <v>12</v>
      </c>
      <c r="K22" s="590" t="s">
        <v>49</v>
      </c>
      <c r="L22" s="586">
        <v>0</v>
      </c>
      <c r="M22" s="594">
        <f t="shared" si="3"/>
        <v>0</v>
      </c>
      <c r="N22" s="568">
        <f>P22+Q22+R22+S22+T22+U22</f>
        <v>0</v>
      </c>
      <c r="O22" s="603"/>
      <c r="P22" s="604"/>
      <c r="Q22" s="607"/>
      <c r="R22" s="608"/>
      <c r="S22" s="609">
        <v>0</v>
      </c>
      <c r="T22" s="603"/>
    </row>
    <row r="23" s="556" customFormat="true" ht="27.75" customHeight="true" spans="1:20">
      <c r="A23" s="567" t="s">
        <v>50</v>
      </c>
      <c r="B23" s="448">
        <v>51</v>
      </c>
      <c r="C23" s="448">
        <f t="shared" si="1"/>
        <v>0</v>
      </c>
      <c r="D23" s="568">
        <f t="shared" si="5"/>
        <v>-1</v>
      </c>
      <c r="E23" s="448"/>
      <c r="F23" s="511">
        <v>0</v>
      </c>
      <c r="G23" s="577"/>
      <c r="H23" s="576"/>
      <c r="I23" s="448"/>
      <c r="J23" s="587"/>
      <c r="K23" s="589" t="s">
        <v>51</v>
      </c>
      <c r="L23" s="586">
        <v>20459</v>
      </c>
      <c r="M23" s="594">
        <f t="shared" si="3"/>
        <v>139241</v>
      </c>
      <c r="N23" s="568">
        <f t="shared" ref="N23:N26" si="6">(M23/L23-1)</f>
        <v>5.80585561366636</v>
      </c>
      <c r="O23" s="603">
        <v>103642</v>
      </c>
      <c r="P23" s="604">
        <v>26264</v>
      </c>
      <c r="Q23" s="607">
        <v>3450</v>
      </c>
      <c r="R23" s="608">
        <v>2155</v>
      </c>
      <c r="S23" s="609">
        <v>1352</v>
      </c>
      <c r="T23" s="603">
        <v>2378</v>
      </c>
    </row>
    <row r="24" s="556" customFormat="true" ht="27.75" customHeight="true" spans="1:20">
      <c r="A24" s="565" t="s">
        <v>52</v>
      </c>
      <c r="B24" s="569">
        <f t="shared" ref="B24:F24" si="7">SUM(B25:B32)</f>
        <v>88252</v>
      </c>
      <c r="C24" s="505">
        <f>SUM(E24:J24)</f>
        <v>47531</v>
      </c>
      <c r="D24" s="566">
        <f t="shared" si="5"/>
        <v>-0.461417304990255</v>
      </c>
      <c r="E24" s="505">
        <f t="shared" si="7"/>
        <v>16000</v>
      </c>
      <c r="F24" s="505">
        <f t="shared" si="7"/>
        <v>6726</v>
      </c>
      <c r="G24" s="578">
        <v>7000</v>
      </c>
      <c r="H24" s="579">
        <f>SUM(H25:H32)</f>
        <v>4505</v>
      </c>
      <c r="I24" s="578">
        <v>4300</v>
      </c>
      <c r="J24" s="591">
        <f>SUM(J25:J32)</f>
        <v>9000</v>
      </c>
      <c r="K24" s="592" t="s">
        <v>53</v>
      </c>
      <c r="L24" s="586">
        <v>108641</v>
      </c>
      <c r="M24" s="594">
        <f t="shared" si="3"/>
        <v>97381</v>
      </c>
      <c r="N24" s="566">
        <f t="shared" si="6"/>
        <v>-0.103644112259644</v>
      </c>
      <c r="O24" s="603">
        <v>19663</v>
      </c>
      <c r="P24" s="604">
        <v>21814</v>
      </c>
      <c r="Q24" s="607">
        <v>13771</v>
      </c>
      <c r="R24" s="608">
        <v>11113</v>
      </c>
      <c r="S24" s="609">
        <v>8429</v>
      </c>
      <c r="T24" s="603">
        <v>22591</v>
      </c>
    </row>
    <row r="25" s="556" customFormat="true" ht="27.75" customHeight="true" spans="1:20">
      <c r="A25" s="567" t="s">
        <v>54</v>
      </c>
      <c r="B25" s="448">
        <v>7158</v>
      </c>
      <c r="C25" s="448">
        <f t="shared" ref="C25:C33" si="8">E25+F25+G25+H25+I25+J25</f>
        <v>6479</v>
      </c>
      <c r="D25" s="568">
        <f t="shared" si="5"/>
        <v>-0.0948588991338363</v>
      </c>
      <c r="E25" s="448">
        <v>2463</v>
      </c>
      <c r="F25" s="580">
        <v>791</v>
      </c>
      <c r="G25" s="448">
        <v>400</v>
      </c>
      <c r="H25" s="448">
        <v>425</v>
      </c>
      <c r="I25" s="448">
        <v>300</v>
      </c>
      <c r="J25" s="587">
        <v>2100</v>
      </c>
      <c r="K25" s="589" t="s">
        <v>55</v>
      </c>
      <c r="L25" s="586">
        <v>5405</v>
      </c>
      <c r="M25" s="594">
        <f t="shared" si="3"/>
        <v>2777</v>
      </c>
      <c r="N25" s="568">
        <f t="shared" si="6"/>
        <v>-0.486216466234968</v>
      </c>
      <c r="O25" s="603">
        <f>1+292</f>
        <v>293</v>
      </c>
      <c r="P25" s="604">
        <v>0</v>
      </c>
      <c r="Q25" s="607">
        <v>2262</v>
      </c>
      <c r="R25" s="608"/>
      <c r="S25" s="609">
        <v>109</v>
      </c>
      <c r="T25" s="603">
        <v>113</v>
      </c>
    </row>
    <row r="26" s="556" customFormat="true" ht="27.75" customHeight="true" spans="1:20">
      <c r="A26" s="567" t="s">
        <v>56</v>
      </c>
      <c r="B26" s="448">
        <v>8654</v>
      </c>
      <c r="C26" s="448">
        <f t="shared" si="8"/>
        <v>8375</v>
      </c>
      <c r="D26" s="568">
        <f t="shared" si="5"/>
        <v>-0.0322394268546337</v>
      </c>
      <c r="E26" s="448">
        <v>3088</v>
      </c>
      <c r="F26" s="580">
        <v>835</v>
      </c>
      <c r="G26" s="448">
        <v>800</v>
      </c>
      <c r="H26" s="448">
        <v>652</v>
      </c>
      <c r="I26" s="448">
        <v>900</v>
      </c>
      <c r="J26" s="587">
        <v>2100</v>
      </c>
      <c r="K26" s="556" t="s">
        <v>57</v>
      </c>
      <c r="L26" s="586">
        <v>16044</v>
      </c>
      <c r="M26" s="594">
        <f t="shared" si="3"/>
        <v>13541</v>
      </c>
      <c r="N26" s="568">
        <f t="shared" si="6"/>
        <v>-0.156008476689105</v>
      </c>
      <c r="O26" s="603">
        <v>3802</v>
      </c>
      <c r="P26" s="604">
        <v>1022</v>
      </c>
      <c r="Q26" s="607">
        <v>1755</v>
      </c>
      <c r="R26" s="608">
        <v>1317</v>
      </c>
      <c r="S26" s="609">
        <v>1184</v>
      </c>
      <c r="T26" s="603">
        <v>4461</v>
      </c>
    </row>
    <row r="27" s="556" customFormat="true" ht="27.75" customHeight="true" spans="1:20">
      <c r="A27" s="567" t="s">
        <v>58</v>
      </c>
      <c r="B27" s="448">
        <v>15213</v>
      </c>
      <c r="C27" s="448">
        <f t="shared" si="8"/>
        <v>8158</v>
      </c>
      <c r="D27" s="568">
        <f t="shared" si="5"/>
        <v>-0.463748110168934</v>
      </c>
      <c r="E27" s="448">
        <v>3077</v>
      </c>
      <c r="F27" s="580">
        <v>629</v>
      </c>
      <c r="G27" s="448">
        <v>2180</v>
      </c>
      <c r="H27" s="448">
        <v>472</v>
      </c>
      <c r="I27" s="448">
        <v>500</v>
      </c>
      <c r="J27" s="587">
        <v>1300</v>
      </c>
      <c r="K27" s="590" t="s">
        <v>59</v>
      </c>
      <c r="L27" s="586">
        <v>0</v>
      </c>
      <c r="M27" s="594">
        <f t="shared" si="3"/>
        <v>17438</v>
      </c>
      <c r="N27" s="568">
        <v>0</v>
      </c>
      <c r="O27" s="603">
        <v>2000</v>
      </c>
      <c r="P27" s="604">
        <v>3000</v>
      </c>
      <c r="Q27" s="607">
        <v>5000</v>
      </c>
      <c r="R27" s="608">
        <v>1000</v>
      </c>
      <c r="S27" s="609">
        <v>2000</v>
      </c>
      <c r="T27" s="603">
        <v>4438</v>
      </c>
    </row>
    <row r="28" s="556" customFormat="true" ht="27.75" customHeight="true" spans="1:20">
      <c r="A28" s="567" t="s">
        <v>60</v>
      </c>
      <c r="B28" s="448">
        <v>153</v>
      </c>
      <c r="C28" s="448">
        <f t="shared" si="8"/>
        <v>0</v>
      </c>
      <c r="D28" s="568">
        <v>0</v>
      </c>
      <c r="E28" s="448"/>
      <c r="F28" s="580">
        <v>0</v>
      </c>
      <c r="G28" s="448"/>
      <c r="H28" s="448"/>
      <c r="I28" s="448"/>
      <c r="J28" s="587"/>
      <c r="K28" s="589" t="s">
        <v>61</v>
      </c>
      <c r="L28" s="586">
        <v>8204</v>
      </c>
      <c r="M28" s="594">
        <f t="shared" si="3"/>
        <v>10600</v>
      </c>
      <c r="N28" s="568">
        <f>(M28/L28-1)</f>
        <v>0.292052657240371</v>
      </c>
      <c r="O28" s="603">
        <f>317</f>
        <v>317</v>
      </c>
      <c r="P28" s="604">
        <v>212</v>
      </c>
      <c r="Q28" s="607">
        <v>4870</v>
      </c>
      <c r="R28" s="608"/>
      <c r="S28" s="609">
        <f>1586-300</f>
        <v>1286</v>
      </c>
      <c r="T28" s="603">
        <v>3915</v>
      </c>
    </row>
    <row r="29" s="556" customFormat="true" ht="27.75" customHeight="true" spans="1:20">
      <c r="A29" s="567" t="s">
        <v>62</v>
      </c>
      <c r="B29" s="448">
        <v>47636</v>
      </c>
      <c r="C29" s="448">
        <f t="shared" si="8"/>
        <v>16119</v>
      </c>
      <c r="D29" s="568">
        <f t="shared" ref="D29:D33" si="9">(C29/B29-1)</f>
        <v>-0.661621462759258</v>
      </c>
      <c r="E29" s="448">
        <f>2861+600</f>
        <v>3461</v>
      </c>
      <c r="F29" s="580">
        <v>4442</v>
      </c>
      <c r="G29" s="448">
        <v>2000</v>
      </c>
      <c r="H29" s="448">
        <v>1616</v>
      </c>
      <c r="I29" s="448">
        <v>2100</v>
      </c>
      <c r="J29" s="587">
        <v>2500</v>
      </c>
      <c r="K29" s="588" t="s">
        <v>63</v>
      </c>
      <c r="L29" s="586">
        <v>62334</v>
      </c>
      <c r="M29" s="594">
        <f t="shared" si="3"/>
        <v>60045</v>
      </c>
      <c r="N29" s="568">
        <f>(M29/L29-1)</f>
        <v>-0.036721532390028</v>
      </c>
      <c r="O29" s="603">
        <v>20980</v>
      </c>
      <c r="P29" s="604">
        <v>2247</v>
      </c>
      <c r="Q29" s="607">
        <v>12521</v>
      </c>
      <c r="R29" s="610">
        <v>8008</v>
      </c>
      <c r="S29" s="609">
        <v>6950</v>
      </c>
      <c r="T29" s="603">
        <v>9339</v>
      </c>
    </row>
    <row r="30" s="556" customFormat="true" ht="27.75" customHeight="true" spans="1:20">
      <c r="A30" s="567" t="s">
        <v>64</v>
      </c>
      <c r="B30" s="448">
        <v>816</v>
      </c>
      <c r="C30" s="448">
        <f t="shared" si="8"/>
        <v>486</v>
      </c>
      <c r="D30" s="568">
        <f t="shared" si="9"/>
        <v>-0.404411764705882</v>
      </c>
      <c r="E30" s="448">
        <v>436</v>
      </c>
      <c r="F30" s="580"/>
      <c r="G30" s="448"/>
      <c r="H30" s="448"/>
      <c r="I30" s="448">
        <v>50</v>
      </c>
      <c r="J30" s="587"/>
      <c r="K30" s="593"/>
      <c r="L30" s="594"/>
      <c r="M30" s="594"/>
      <c r="N30" s="568"/>
      <c r="O30" s="603"/>
      <c r="P30" s="604"/>
      <c r="Q30" s="607"/>
      <c r="R30" s="608"/>
      <c r="S30" s="607"/>
      <c r="T30" s="611"/>
    </row>
    <row r="31" s="556" customFormat="true" ht="27.75" customHeight="true" spans="1:20">
      <c r="A31" s="567" t="s">
        <v>65</v>
      </c>
      <c r="B31" s="448">
        <v>7538</v>
      </c>
      <c r="C31" s="448">
        <f t="shared" si="8"/>
        <v>7349</v>
      </c>
      <c r="D31" s="568">
        <f t="shared" si="9"/>
        <v>-0.0250729636508358</v>
      </c>
      <c r="E31" s="448">
        <v>3199</v>
      </c>
      <c r="F31" s="580">
        <v>0</v>
      </c>
      <c r="G31" s="448">
        <v>1600</v>
      </c>
      <c r="H31" s="448">
        <v>1150</v>
      </c>
      <c r="I31" s="448">
        <v>400</v>
      </c>
      <c r="J31" s="587">
        <v>1000</v>
      </c>
      <c r="K31" s="595"/>
      <c r="L31" s="594"/>
      <c r="M31" s="594"/>
      <c r="N31" s="568"/>
      <c r="O31" s="567"/>
      <c r="P31" s="605"/>
      <c r="Q31" s="605"/>
      <c r="R31" s="567"/>
      <c r="S31" s="605"/>
      <c r="T31" s="567"/>
    </row>
    <row r="32" s="556" customFormat="true" ht="27.75" customHeight="true" spans="1:20">
      <c r="A32" s="567" t="s">
        <v>66</v>
      </c>
      <c r="B32" s="448">
        <v>1084</v>
      </c>
      <c r="C32" s="448">
        <f t="shared" si="8"/>
        <v>565</v>
      </c>
      <c r="D32" s="568">
        <f t="shared" si="9"/>
        <v>-0.478782287822878</v>
      </c>
      <c r="E32" s="448">
        <v>276</v>
      </c>
      <c r="F32" s="580">
        <v>29</v>
      </c>
      <c r="G32" s="448">
        <v>20</v>
      </c>
      <c r="H32" s="448">
        <v>190</v>
      </c>
      <c r="I32" s="448">
        <v>50</v>
      </c>
      <c r="J32" s="587"/>
      <c r="K32" s="595"/>
      <c r="L32" s="594"/>
      <c r="M32" s="594"/>
      <c r="N32" s="568"/>
      <c r="O32" s="567"/>
      <c r="P32" s="605"/>
      <c r="Q32" s="605"/>
      <c r="R32" s="567"/>
      <c r="S32" s="605"/>
      <c r="T32" s="567"/>
    </row>
    <row r="33" s="558" customFormat="true" ht="27.75" customHeight="true" spans="1:20">
      <c r="A33" s="564" t="s">
        <v>67</v>
      </c>
      <c r="B33" s="569">
        <f>B24+B6</f>
        <v>191859</v>
      </c>
      <c r="C33" s="505">
        <f t="shared" si="8"/>
        <v>157736</v>
      </c>
      <c r="D33" s="566">
        <f t="shared" si="9"/>
        <v>-0.177854570283385</v>
      </c>
      <c r="E33" s="505">
        <f t="shared" ref="E33:J33" si="10">SUM(E6,E24)</f>
        <v>57200</v>
      </c>
      <c r="F33" s="505">
        <f t="shared" si="10"/>
        <v>19626</v>
      </c>
      <c r="G33" s="574">
        <v>20000</v>
      </c>
      <c r="H33" s="575">
        <f t="shared" si="10"/>
        <v>12060</v>
      </c>
      <c r="I33" s="575">
        <f t="shared" si="10"/>
        <v>9350</v>
      </c>
      <c r="J33" s="596">
        <f t="shared" si="10"/>
        <v>39500</v>
      </c>
      <c r="K33" s="564" t="s">
        <v>68</v>
      </c>
      <c r="L33" s="573">
        <f>SUM(L6:L32)</f>
        <v>2772758</v>
      </c>
      <c r="M33" s="573">
        <f>O33+P33+Q33+R33+S33+T33</f>
        <v>2378451</v>
      </c>
      <c r="N33" s="224">
        <f>(M33/L33-1)</f>
        <v>-0.142207506028294</v>
      </c>
      <c r="O33" s="505">
        <f t="shared" ref="L33:T33" si="11">SUM(O6:O32)</f>
        <v>503668</v>
      </c>
      <c r="P33" s="505">
        <f t="shared" si="11"/>
        <v>411223</v>
      </c>
      <c r="Q33" s="517">
        <f t="shared" si="11"/>
        <v>675058</v>
      </c>
      <c r="R33" s="505">
        <f t="shared" si="11"/>
        <v>226907</v>
      </c>
      <c r="S33" s="517">
        <f t="shared" si="11"/>
        <v>194687</v>
      </c>
      <c r="T33" s="505">
        <f t="shared" si="11"/>
        <v>366908</v>
      </c>
    </row>
    <row r="34" s="556" customFormat="true" ht="36" customHeight="true" spans="1:17">
      <c r="A34" s="570" t="s">
        <v>69</v>
      </c>
      <c r="B34" s="570"/>
      <c r="C34" s="570"/>
      <c r="D34" s="570"/>
      <c r="E34" s="570"/>
      <c r="F34" s="570"/>
      <c r="G34" s="570"/>
      <c r="H34" s="570"/>
      <c r="I34" s="570"/>
      <c r="J34" s="570"/>
      <c r="K34" s="570"/>
      <c r="L34" s="570"/>
      <c r="M34" s="570"/>
      <c r="N34" s="570"/>
      <c r="Q34" s="558"/>
    </row>
    <row r="35" s="556" customFormat="true" ht="20.1" customHeight="true" spans="14:14">
      <c r="N35" s="559"/>
    </row>
    <row r="36" s="556" customFormat="true" ht="20.1" customHeight="true" spans="14:14">
      <c r="N36" s="559"/>
    </row>
    <row r="37" s="556" customFormat="true" ht="20.1" customHeight="true" spans="14:14">
      <c r="N37" s="559"/>
    </row>
    <row r="38" s="556" customFormat="true" ht="20.1" customHeight="true" spans="14:14">
      <c r="N38" s="559"/>
    </row>
    <row r="39" s="556" customFormat="true" ht="20.1" customHeight="true" spans="14:14">
      <c r="N39" s="559"/>
    </row>
    <row r="40" s="556" customFormat="true" ht="20.1" customHeight="true" spans="14:14">
      <c r="N40" s="559"/>
    </row>
    <row r="41" s="556" customFormat="true" ht="20.1" customHeight="true" spans="14:14">
      <c r="N41" s="559"/>
    </row>
    <row r="42" s="556" customFormat="true" ht="20.1" customHeight="true" spans="14:14">
      <c r="N42" s="559"/>
    </row>
    <row r="43" s="556" customFormat="true" ht="20.1" customHeight="true" spans="14:14">
      <c r="N43" s="559"/>
    </row>
    <row r="44" s="556" customFormat="true" ht="20.1" customHeight="true" spans="14:14">
      <c r="N44" s="559"/>
    </row>
    <row r="45" s="556" customFormat="true" ht="20.1" customHeight="true" spans="14:14">
      <c r="N45" s="559"/>
    </row>
    <row r="46" s="556" customFormat="true" ht="20.1" customHeight="true" spans="14:14">
      <c r="N46" s="559"/>
    </row>
    <row r="47" s="556" customFormat="true" ht="20.1" customHeight="true" spans="14:14">
      <c r="N47" s="559"/>
    </row>
    <row r="48" s="556" customFormat="true" ht="20.1" customHeight="true" spans="14:14">
      <c r="N48" s="559"/>
    </row>
    <row r="49" s="556" customFormat="true" ht="20.1" customHeight="true" spans="14:14">
      <c r="N49" s="559"/>
    </row>
    <row r="50" s="556" customFormat="true" ht="20.1" customHeight="true" spans="14:14">
      <c r="N50" s="559"/>
    </row>
    <row r="51" s="556" customFormat="true" ht="20.1" customHeight="true" spans="14:14">
      <c r="N51" s="559"/>
    </row>
    <row r="52" s="556" customFormat="true" ht="20.1" customHeight="true" spans="14:14">
      <c r="N52" s="559"/>
    </row>
    <row r="53" s="556" customFormat="true" ht="20.1" customHeight="true" spans="14:14">
      <c r="N53" s="559"/>
    </row>
    <row r="54" s="556" customFormat="true" ht="20.1" customHeight="true" spans="14:14">
      <c r="N54" s="559"/>
    </row>
    <row r="55" s="556" customFormat="true" ht="20.1" customHeight="true" spans="14:14">
      <c r="N55" s="559"/>
    </row>
    <row r="56" s="556" customFormat="true" ht="20.1" customHeight="true" spans="14:14">
      <c r="N56" s="559"/>
    </row>
    <row r="57" s="556" customFormat="true" ht="20.1" customHeight="true" spans="14:14">
      <c r="N57" s="559"/>
    </row>
    <row r="58" s="556" customFormat="true" ht="20.1" customHeight="true" spans="14:14">
      <c r="N58" s="559"/>
    </row>
    <row r="59" s="556" customFormat="true" ht="20.1" customHeight="true" spans="14:14">
      <c r="N59" s="559"/>
    </row>
    <row r="60" s="556" customFormat="true" ht="20.1" customHeight="true" spans="14:14">
      <c r="N60" s="559"/>
    </row>
    <row r="61" s="556" customFormat="true" ht="20.1" customHeight="true" spans="14:14">
      <c r="N61" s="559"/>
    </row>
    <row r="62" s="556" customFormat="true" ht="20.1" customHeight="true" spans="14:14">
      <c r="N62" s="559"/>
    </row>
    <row r="63" s="556" customFormat="true" ht="20.1" customHeight="true" spans="14:14">
      <c r="N63" s="559"/>
    </row>
    <row r="64" s="556" customFormat="true" ht="20.1" customHeight="true" spans="14:14">
      <c r="N64" s="559"/>
    </row>
    <row r="65" s="556" customFormat="true" ht="20.1" customHeight="true" spans="14:14">
      <c r="N65" s="559"/>
    </row>
    <row r="66" s="556" customFormat="true" ht="20.1" customHeight="true" spans="14:14">
      <c r="N66" s="559"/>
    </row>
    <row r="67" s="556" customFormat="true" ht="20.1" customHeight="true" spans="14:14">
      <c r="N67" s="559"/>
    </row>
    <row r="68" s="556" customFormat="true" ht="20.1" customHeight="true" spans="14:14">
      <c r="N68" s="559"/>
    </row>
    <row r="69" s="556" customFormat="true" ht="20.1" customHeight="true" spans="14:14">
      <c r="N69" s="559"/>
    </row>
    <row r="70" s="556" customFormat="true" ht="20.1" customHeight="true" spans="14:14">
      <c r="N70" s="559"/>
    </row>
    <row r="71" s="556" customFormat="true" ht="20.1" customHeight="true" spans="14:14">
      <c r="N71" s="559"/>
    </row>
    <row r="72" s="556" customFormat="true" ht="20.1" customHeight="true" spans="14:14">
      <c r="N72" s="559"/>
    </row>
    <row r="73" s="556" customFormat="true" ht="20.1" customHeight="true" spans="14:14">
      <c r="N73" s="559"/>
    </row>
    <row r="74" s="556" customFormat="true" ht="20.1" customHeight="true" spans="14:14">
      <c r="N74" s="559"/>
    </row>
    <row r="75" s="556" customFormat="true" ht="20.1" customHeight="true" spans="14:14">
      <c r="N75" s="559"/>
    </row>
    <row r="76" s="556" customFormat="true" ht="20.1" customHeight="true" spans="14:14">
      <c r="N76" s="559"/>
    </row>
    <row r="77" s="556" customFormat="true" ht="20.1" customHeight="true" spans="14:14">
      <c r="N77" s="559"/>
    </row>
    <row r="78" s="556" customFormat="true" ht="20.1" customHeight="true" spans="14:14">
      <c r="N78" s="559"/>
    </row>
    <row r="79" s="556" customFormat="true" ht="20.1" customHeight="true" spans="14:14">
      <c r="N79" s="559"/>
    </row>
    <row r="80" s="556" customFormat="true" ht="20.1" customHeight="true" spans="14:14">
      <c r="N80" s="559"/>
    </row>
    <row r="81" s="556" customFormat="true" ht="20.1" customHeight="true" spans="14:14">
      <c r="N81" s="559"/>
    </row>
    <row r="82" s="556" customFormat="true" ht="20.1" customHeight="true" spans="14:14">
      <c r="N82" s="559"/>
    </row>
    <row r="83" s="556" customFormat="true" ht="20.1" customHeight="true" spans="14:14">
      <c r="N83" s="559"/>
    </row>
    <row r="84" s="556" customFormat="true" ht="20.1" customHeight="true" spans="14:14">
      <c r="N84" s="559"/>
    </row>
    <row r="85" s="556" customFormat="true" ht="20.1" customHeight="true" spans="14:14">
      <c r="N85" s="559"/>
    </row>
    <row r="86" s="556" customFormat="true" ht="20.1" customHeight="true" spans="14:14">
      <c r="N86" s="559"/>
    </row>
    <row r="87" s="556" customFormat="true" ht="20.1" customHeight="true" spans="14:14">
      <c r="N87" s="559"/>
    </row>
    <row r="88" s="556" customFormat="true" ht="20.1" customHeight="true" spans="14:14">
      <c r="N88" s="559"/>
    </row>
    <row r="89" s="556" customFormat="true" ht="20.1" customHeight="true" spans="14:14">
      <c r="N89" s="559"/>
    </row>
    <row r="90" s="556" customFormat="true" ht="20.1" customHeight="true" spans="14:14">
      <c r="N90" s="559"/>
    </row>
    <row r="91" s="556" customFormat="true" ht="20.1" customHeight="true" spans="14:14">
      <c r="N91" s="559"/>
    </row>
    <row r="92" s="556" customFormat="true" ht="20.1" customHeight="true" spans="14:14">
      <c r="N92" s="559"/>
    </row>
    <row r="93" s="556" customFormat="true" ht="20.1" customHeight="true" spans="14:14">
      <c r="N93" s="559"/>
    </row>
    <row r="94" s="556" customFormat="true" ht="20.1" customHeight="true" spans="14:14">
      <c r="N94" s="559"/>
    </row>
    <row r="95" s="556" customFormat="true" ht="20.1" customHeight="true" spans="14:14">
      <c r="N95" s="559"/>
    </row>
    <row r="96" s="556" customFormat="true" ht="20.1" customHeight="true" spans="14:14">
      <c r="N96" s="559"/>
    </row>
    <row r="97" s="556" customFormat="true" ht="20.1" customHeight="true" spans="14:14">
      <c r="N97" s="559"/>
    </row>
    <row r="98" s="556" customFormat="true" ht="20.1" customHeight="true" spans="14:14">
      <c r="N98" s="559"/>
    </row>
    <row r="99" s="556" customFormat="true" ht="20.1" customHeight="true" spans="14:14">
      <c r="N99" s="559"/>
    </row>
    <row r="100" s="556" customFormat="true" ht="20.1" customHeight="true" spans="14:14">
      <c r="N100" s="559"/>
    </row>
    <row r="101" s="556" customFormat="true" ht="20.1" customHeight="true" spans="14:14">
      <c r="N101" s="559"/>
    </row>
    <row r="102" s="556" customFormat="true" ht="20.1" customHeight="true" spans="14:14">
      <c r="N102" s="559"/>
    </row>
    <row r="103" s="556" customFormat="true" ht="20.1" customHeight="true" spans="14:14">
      <c r="N103" s="559"/>
    </row>
    <row r="104" s="556" customFormat="true" ht="20.1" customHeight="true" spans="14:14">
      <c r="N104" s="559"/>
    </row>
    <row r="105" s="556" customFormat="true" ht="20.1" customHeight="true" spans="14:14">
      <c r="N105" s="559"/>
    </row>
    <row r="106" s="556" customFormat="true" ht="20.1" customHeight="true" spans="14:14">
      <c r="N106" s="559"/>
    </row>
    <row r="107" s="556" customFormat="true" ht="20.1" customHeight="true" spans="14:14">
      <c r="N107" s="559"/>
    </row>
    <row r="108" s="556" customFormat="true" ht="20.1" customHeight="true" spans="14:14">
      <c r="N108" s="559"/>
    </row>
    <row r="109" s="558" customFormat="true" ht="20.1" customHeight="true" spans="1:17">
      <c r="A109" s="556"/>
      <c r="B109" s="556"/>
      <c r="C109" s="556"/>
      <c r="D109" s="556"/>
      <c r="E109" s="556"/>
      <c r="F109" s="556"/>
      <c r="G109" s="556"/>
      <c r="H109" s="556"/>
      <c r="I109" s="556"/>
      <c r="J109" s="556"/>
      <c r="N109" s="612"/>
      <c r="Q109" s="556"/>
    </row>
    <row r="110" s="556" customFormat="true" ht="20.1" customHeight="true" spans="14:17">
      <c r="N110" s="559"/>
      <c r="Q110" s="558"/>
    </row>
    <row r="111" s="556" customFormat="true" ht="20.1" customHeight="true" spans="14:14">
      <c r="N111" s="559"/>
    </row>
    <row r="112" s="556" customFormat="true" ht="20.1" customHeight="true" spans="14:14">
      <c r="N112" s="559"/>
    </row>
    <row r="113" s="556" customFormat="true" ht="20.1" customHeight="true" spans="14:14">
      <c r="N113" s="559"/>
    </row>
    <row r="114" s="556" customFormat="true" ht="20.1" customHeight="true" spans="14:14">
      <c r="N114" s="559"/>
    </row>
    <row r="115" s="556" customFormat="true" ht="20.1" customHeight="true" spans="14:14">
      <c r="N115" s="559"/>
    </row>
    <row r="116" s="556" customFormat="true" ht="20.1" customHeight="true" spans="14:14">
      <c r="N116" s="559"/>
    </row>
    <row r="117" s="556" customFormat="true" ht="20.1" customHeight="true" spans="14:14">
      <c r="N117" s="559"/>
    </row>
    <row r="118" s="556" customFormat="true" ht="20.1" customHeight="true" spans="14:14">
      <c r="N118" s="559"/>
    </row>
    <row r="119" s="556" customFormat="true" ht="20.1" customHeight="true" spans="14:14">
      <c r="N119" s="559"/>
    </row>
    <row r="120" s="556" customFormat="true" ht="20.1" customHeight="true" spans="14:14">
      <c r="N120" s="559"/>
    </row>
    <row r="121" s="556" customFormat="true" ht="20.1" customHeight="true" spans="14:14">
      <c r="N121" s="559"/>
    </row>
    <row r="122" s="556" customFormat="true" ht="20.1" customHeight="true" spans="14:14">
      <c r="N122" s="559"/>
    </row>
    <row r="123" s="556" customFormat="true" ht="20.1" customHeight="true" spans="14:14">
      <c r="N123" s="559"/>
    </row>
    <row r="124" s="556" customFormat="true" ht="20.1" customHeight="true" spans="14:14">
      <c r="N124" s="559"/>
    </row>
    <row r="125" s="556" customFormat="true" ht="20.1" customHeight="true" spans="14:14">
      <c r="N125" s="559"/>
    </row>
    <row r="126" s="556" customFormat="true" ht="20.1" customHeight="true" spans="14:14">
      <c r="N126" s="559"/>
    </row>
    <row r="127" s="556" customFormat="true" ht="20.1" customHeight="true" spans="14:14">
      <c r="N127" s="559"/>
    </row>
    <row r="128" s="556" customFormat="true" ht="20.1" customHeight="true" spans="14:14">
      <c r="N128" s="559"/>
    </row>
    <row r="129" s="556" customFormat="true" ht="20.1" customHeight="true" spans="14:14">
      <c r="N129" s="559"/>
    </row>
    <row r="130" s="556" customFormat="true" ht="20.1" customHeight="true" spans="14:14">
      <c r="N130" s="559"/>
    </row>
    <row r="131" s="556" customFormat="true" ht="20.1" customHeight="true" spans="14:14">
      <c r="N131" s="559"/>
    </row>
    <row r="132" s="556" customFormat="true" ht="20.1" customHeight="true" spans="14:14">
      <c r="N132" s="559"/>
    </row>
    <row r="133" s="556" customFormat="true" ht="20.1" customHeight="true" spans="14:14">
      <c r="N133" s="559"/>
    </row>
    <row r="134" s="556" customFormat="true" ht="20.1" customHeight="true" spans="14:14">
      <c r="N134" s="559"/>
    </row>
    <row r="135" s="556" customFormat="true" ht="20.1" customHeight="true" spans="14:14">
      <c r="N135" s="559"/>
    </row>
    <row r="136" s="556" customFormat="true" ht="20.1" customHeight="true" spans="14:14">
      <c r="N136" s="559"/>
    </row>
    <row r="137" s="556" customFormat="true" ht="20.1" customHeight="true" spans="14:14">
      <c r="N137" s="559"/>
    </row>
    <row r="138" s="556" customFormat="true" ht="20.1" customHeight="true" spans="14:14">
      <c r="N138" s="559"/>
    </row>
    <row r="139" s="556" customFormat="true" ht="20.1" customHeight="true" spans="14:14">
      <c r="N139" s="559"/>
    </row>
    <row r="140" s="556" customFormat="true" ht="20.1" customHeight="true" spans="14:14">
      <c r="N140" s="559"/>
    </row>
    <row r="141" s="556" customFormat="true" ht="20.1" customHeight="true" spans="14:14">
      <c r="N141" s="559"/>
    </row>
    <row r="142" s="556" customFormat="true" ht="20.1" customHeight="true" spans="14:14">
      <c r="N142" s="559"/>
    </row>
    <row r="143" s="556" customFormat="true" ht="20.1" customHeight="true" spans="14:14">
      <c r="N143" s="559"/>
    </row>
    <row r="144" s="556" customFormat="true" ht="20.1" customHeight="true" spans="14:14">
      <c r="N144" s="559"/>
    </row>
    <row r="145" s="556" customFormat="true" ht="20.1" customHeight="true" spans="14:14">
      <c r="N145" s="559"/>
    </row>
    <row r="146" s="556" customFormat="true" ht="20.1" customHeight="true" spans="14:14">
      <c r="N146" s="559"/>
    </row>
    <row r="147" s="556" customFormat="true" ht="20.1" customHeight="true" spans="14:14">
      <c r="N147" s="559"/>
    </row>
    <row r="148" s="556" customFormat="true" ht="20.1" customHeight="true" spans="14:14">
      <c r="N148" s="559"/>
    </row>
    <row r="149" s="556" customFormat="true" ht="20.1" customHeight="true" spans="14:14">
      <c r="N149" s="559"/>
    </row>
    <row r="150" s="556" customFormat="true" ht="20.1" customHeight="true" spans="14:14">
      <c r="N150" s="559"/>
    </row>
    <row r="151" s="556" customFormat="true" ht="20.1" customHeight="true" spans="14:14">
      <c r="N151" s="559"/>
    </row>
    <row r="152" s="556" customFormat="true" ht="20.1" customHeight="true" spans="14:14">
      <c r="N152" s="559"/>
    </row>
    <row r="153" s="556" customFormat="true" ht="20.1" customHeight="true" spans="14:14">
      <c r="N153" s="559"/>
    </row>
    <row r="154" s="556" customFormat="true" ht="20.1" customHeight="true" spans="14:14">
      <c r="N154" s="559"/>
    </row>
    <row r="155" s="556" customFormat="true" ht="20.1" customHeight="true" spans="14:14">
      <c r="N155" s="559"/>
    </row>
    <row r="156" s="556" customFormat="true" ht="20.1" customHeight="true" spans="14:14">
      <c r="N156" s="559"/>
    </row>
    <row r="157" s="556" customFormat="true" ht="20.1" customHeight="true" spans="14:14">
      <c r="N157" s="559"/>
    </row>
    <row r="158" s="556" customFormat="true" ht="20.1" customHeight="true" spans="14:14">
      <c r="N158" s="559"/>
    </row>
    <row r="159" s="556" customFormat="true" ht="20.1" customHeight="true" spans="14:14">
      <c r="N159" s="559"/>
    </row>
    <row r="160" s="556" customFormat="true" ht="20.1" customHeight="true" spans="14:14">
      <c r="N160" s="559"/>
    </row>
    <row r="161" s="556" customFormat="true" ht="20.1" customHeight="true" spans="14:14">
      <c r="N161" s="559"/>
    </row>
    <row r="162" s="556" customFormat="true" ht="20.1" customHeight="true" spans="14:14">
      <c r="N162" s="559"/>
    </row>
    <row r="163" s="556" customFormat="true" ht="20.1" customHeight="true" spans="14:14">
      <c r="N163" s="559"/>
    </row>
    <row r="164" s="556" customFormat="true" ht="20.1" customHeight="true" spans="14:14">
      <c r="N164" s="559"/>
    </row>
    <row r="165" s="556" customFormat="true" ht="20.1" customHeight="true" spans="14:14">
      <c r="N165" s="559"/>
    </row>
    <row r="166" s="556" customFormat="true" ht="20.1" customHeight="true" spans="14:14">
      <c r="N166" s="559"/>
    </row>
    <row r="167" s="556" customFormat="true" ht="20.1" customHeight="true" spans="14:14">
      <c r="N167" s="559"/>
    </row>
    <row r="168" s="556" customFormat="true" ht="20.1" customHeight="true" spans="14:14">
      <c r="N168" s="559"/>
    </row>
    <row r="169" s="556" customFormat="true" ht="20.1" customHeight="true" spans="14:14">
      <c r="N169" s="559"/>
    </row>
    <row r="170" s="556" customFormat="true" ht="20.1" customHeight="true" spans="14:14">
      <c r="N170" s="559"/>
    </row>
    <row r="171" s="556" customFormat="true" ht="20.1" customHeight="true" spans="14:14">
      <c r="N171" s="559"/>
    </row>
    <row r="172" s="556" customFormat="true" ht="20.1" customHeight="true" spans="14:14">
      <c r="N172" s="559"/>
    </row>
    <row r="173" s="556" customFormat="true" ht="20.1" customHeight="true" spans="14:14">
      <c r="N173" s="559"/>
    </row>
    <row r="174" s="556" customFormat="true" ht="20.1" customHeight="true" spans="14:14">
      <c r="N174" s="559"/>
    </row>
    <row r="175" s="556" customFormat="true" ht="20.1" customHeight="true" spans="14:14">
      <c r="N175" s="559"/>
    </row>
    <row r="176" s="556" customFormat="true" ht="20.1" customHeight="true" spans="14:14">
      <c r="N176" s="559"/>
    </row>
    <row r="177" s="556" customFormat="true" ht="20.1" customHeight="true" spans="14:14">
      <c r="N177" s="559"/>
    </row>
    <row r="178" s="556" customFormat="true" ht="20.1" customHeight="true" spans="14:14">
      <c r="N178" s="559"/>
    </row>
    <row r="179" s="556" customFormat="true" ht="20.1" customHeight="true" spans="14:14">
      <c r="N179" s="559"/>
    </row>
    <row r="180" s="556" customFormat="true" ht="20.1" customHeight="true" spans="14:14">
      <c r="N180" s="559"/>
    </row>
    <row r="181" s="556" customFormat="true" ht="20.1" customHeight="true" spans="14:14">
      <c r="N181" s="559"/>
    </row>
    <row r="182" s="556" customFormat="true" ht="20.1" customHeight="true" spans="14:14">
      <c r="N182" s="559"/>
    </row>
    <row r="183" s="556" customFormat="true" ht="20.1" customHeight="true" spans="14:14">
      <c r="N183" s="559"/>
    </row>
    <row r="184" s="556" customFormat="true" ht="20.1" customHeight="true" spans="14:14">
      <c r="N184" s="559"/>
    </row>
    <row r="185" s="556" customFormat="true" ht="20.1" customHeight="true" spans="14:14">
      <c r="N185" s="559"/>
    </row>
    <row r="186" s="556" customFormat="true" ht="20.1" customHeight="true" spans="14:14">
      <c r="N186" s="559"/>
    </row>
    <row r="187" s="556" customFormat="true" ht="20.1" customHeight="true" spans="14:14">
      <c r="N187" s="559"/>
    </row>
  </sheetData>
  <mergeCells count="7">
    <mergeCell ref="A2:O2"/>
    <mergeCell ref="M3:O3"/>
    <mergeCell ref="B4:D4"/>
    <mergeCell ref="L4:N4"/>
    <mergeCell ref="A34:N34"/>
    <mergeCell ref="A4:A5"/>
    <mergeCell ref="K4:K5"/>
  </mergeCells>
  <dataValidations count="1">
    <dataValidation type="whole" operator="between" allowBlank="1" showInputMessage="1" showErrorMessage="1" error="请输入整数！" sqref="G24 H24 I24 J24">
      <formula1>-100000000</formula1>
      <formula2>100000000</formula2>
    </dataValidation>
  </dataValidations>
  <printOptions horizontalCentered="true"/>
  <pageMargins left="0.16" right="0" top="0.51" bottom="0.67" header="0.35" footer="0.63"/>
  <pageSetup paperSize="9" scale="68" firstPageNumber="10" orientation="portrait" useFirstPageNumber="true" horizontalDpi="600" verticalDpi="600"/>
  <headerFooter alignWithMargins="0" scaleWithDoc="0">
    <oddFooter>&amp;C&amp;"Arial"&amp;10第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62"/>
  <sheetViews>
    <sheetView topLeftCell="B33" workbookViewId="0">
      <selection activeCell="C7" sqref="C7"/>
    </sheetView>
  </sheetViews>
  <sheetFormatPr defaultColWidth="8" defaultRowHeight="14.25" outlineLevelCol="3"/>
  <cols>
    <col min="1" max="1" width="8" style="146" hidden="true"/>
    <col min="2" max="2" width="11.375" style="146"/>
    <col min="3" max="3" width="46.25" style="146" customWidth="true"/>
    <col min="4" max="4" width="21" style="146" customWidth="true"/>
    <col min="5" max="16382" width="8" style="146"/>
  </cols>
  <sheetData>
    <row r="1" spans="2:2">
      <c r="B1" s="98" t="s">
        <v>1790</v>
      </c>
    </row>
    <row r="2" ht="30" customHeight="true" spans="2:4">
      <c r="B2" s="147" t="s">
        <v>1791</v>
      </c>
      <c r="C2" s="147"/>
      <c r="D2" s="147"/>
    </row>
    <row r="3" spans="2:4">
      <c r="B3" s="148" t="s">
        <v>1792</v>
      </c>
      <c r="C3" s="148"/>
      <c r="D3" s="149"/>
    </row>
    <row r="4" ht="40" customHeight="true" spans="2:4">
      <c r="B4" s="153" t="s">
        <v>1348</v>
      </c>
      <c r="C4" s="153" t="s">
        <v>1349</v>
      </c>
      <c r="D4" s="153" t="s">
        <v>1793</v>
      </c>
    </row>
    <row r="5" spans="2:4">
      <c r="B5" s="154" t="s">
        <v>1794</v>
      </c>
      <c r="C5" s="154" t="s">
        <v>1795</v>
      </c>
      <c r="D5" s="155" t="s">
        <v>1796</v>
      </c>
    </row>
    <row r="6" spans="2:4">
      <c r="B6" s="154" t="s">
        <v>1797</v>
      </c>
      <c r="C6" s="154" t="s">
        <v>1798</v>
      </c>
      <c r="D6" s="155" t="s">
        <v>1796</v>
      </c>
    </row>
    <row r="7" spans="2:4">
      <c r="B7" s="156" t="s">
        <v>1799</v>
      </c>
      <c r="C7" s="156" t="s">
        <v>1800</v>
      </c>
      <c r="D7" s="159" t="s">
        <v>1801</v>
      </c>
    </row>
    <row r="8" spans="2:4">
      <c r="B8" s="156" t="s">
        <v>1802</v>
      </c>
      <c r="C8" s="156" t="s">
        <v>1803</v>
      </c>
      <c r="D8" s="159" t="s">
        <v>1801</v>
      </c>
    </row>
    <row r="9" spans="2:4">
      <c r="B9" s="156" t="s">
        <v>1804</v>
      </c>
      <c r="C9" s="156" t="s">
        <v>1805</v>
      </c>
      <c r="D9" s="159" t="s">
        <v>1801</v>
      </c>
    </row>
    <row r="10" spans="2:4">
      <c r="B10" s="156" t="s">
        <v>1806</v>
      </c>
      <c r="C10" s="156" t="s">
        <v>1807</v>
      </c>
      <c r="D10" s="159" t="s">
        <v>1801</v>
      </c>
    </row>
    <row r="11" spans="2:4">
      <c r="B11" s="156" t="s">
        <v>1808</v>
      </c>
      <c r="C11" s="156" t="s">
        <v>1809</v>
      </c>
      <c r="D11" s="159" t="s">
        <v>1801</v>
      </c>
    </row>
    <row r="12" spans="2:4">
      <c r="B12" s="156" t="s">
        <v>1810</v>
      </c>
      <c r="C12" s="156" t="s">
        <v>1811</v>
      </c>
      <c r="D12" s="159" t="s">
        <v>1801</v>
      </c>
    </row>
    <row r="13" spans="2:4">
      <c r="B13" s="156" t="s">
        <v>1812</v>
      </c>
      <c r="C13" s="156" t="s">
        <v>1813</v>
      </c>
      <c r="D13" s="159" t="s">
        <v>1801</v>
      </c>
    </row>
    <row r="14" spans="2:4">
      <c r="B14" s="156" t="s">
        <v>1814</v>
      </c>
      <c r="C14" s="156" t="s">
        <v>1815</v>
      </c>
      <c r="D14" s="159" t="s">
        <v>1801</v>
      </c>
    </row>
    <row r="15" spans="2:4">
      <c r="B15" s="156" t="s">
        <v>1816</v>
      </c>
      <c r="C15" s="156" t="s">
        <v>1817</v>
      </c>
      <c r="D15" s="159" t="s">
        <v>1801</v>
      </c>
    </row>
    <row r="16" spans="2:4">
      <c r="B16" s="156" t="s">
        <v>1818</v>
      </c>
      <c r="C16" s="156" t="s">
        <v>1819</v>
      </c>
      <c r="D16" s="159" t="s">
        <v>1801</v>
      </c>
    </row>
    <row r="17" spans="2:4">
      <c r="B17" s="156" t="s">
        <v>1820</v>
      </c>
      <c r="C17" s="156" t="s">
        <v>1821</v>
      </c>
      <c r="D17" s="159" t="s">
        <v>1801</v>
      </c>
    </row>
    <row r="18" spans="2:4">
      <c r="B18" s="156" t="s">
        <v>1822</v>
      </c>
      <c r="C18" s="156" t="s">
        <v>1823</v>
      </c>
      <c r="D18" s="159" t="s">
        <v>1801</v>
      </c>
    </row>
    <row r="19" spans="2:4">
      <c r="B19" s="156" t="s">
        <v>1824</v>
      </c>
      <c r="C19" s="156" t="s">
        <v>1825</v>
      </c>
      <c r="D19" s="159" t="s">
        <v>1801</v>
      </c>
    </row>
    <row r="20" spans="2:4">
      <c r="B20" s="156" t="s">
        <v>1826</v>
      </c>
      <c r="C20" s="156" t="s">
        <v>1827</v>
      </c>
      <c r="D20" s="159" t="s">
        <v>1801</v>
      </c>
    </row>
    <row r="21" spans="2:4">
      <c r="B21" s="156" t="s">
        <v>1828</v>
      </c>
      <c r="C21" s="156" t="s">
        <v>1829</v>
      </c>
      <c r="D21" s="159" t="s">
        <v>1801</v>
      </c>
    </row>
    <row r="22" spans="2:4">
      <c r="B22" s="156" t="s">
        <v>1830</v>
      </c>
      <c r="C22" s="156" t="s">
        <v>1831</v>
      </c>
      <c r="D22" s="159" t="s">
        <v>1801</v>
      </c>
    </row>
    <row r="23" spans="2:4">
      <c r="B23" s="156" t="s">
        <v>1832</v>
      </c>
      <c r="C23" s="156" t="s">
        <v>1833</v>
      </c>
      <c r="D23" s="159" t="s">
        <v>1801</v>
      </c>
    </row>
    <row r="24" spans="2:4">
      <c r="B24" s="156" t="s">
        <v>1834</v>
      </c>
      <c r="C24" s="156" t="s">
        <v>1835</v>
      </c>
      <c r="D24" s="159" t="s">
        <v>1801</v>
      </c>
    </row>
    <row r="25" spans="2:4">
      <c r="B25" s="156" t="s">
        <v>1836</v>
      </c>
      <c r="C25" s="156" t="s">
        <v>1837</v>
      </c>
      <c r="D25" s="159" t="s">
        <v>1801</v>
      </c>
    </row>
    <row r="26" spans="2:4">
      <c r="B26" s="156" t="s">
        <v>1838</v>
      </c>
      <c r="C26" s="156" t="s">
        <v>1839</v>
      </c>
      <c r="D26" s="159" t="s">
        <v>1801</v>
      </c>
    </row>
    <row r="27" spans="2:4">
      <c r="B27" s="156" t="s">
        <v>1840</v>
      </c>
      <c r="C27" s="156" t="s">
        <v>1841</v>
      </c>
      <c r="D27" s="159" t="s">
        <v>1801</v>
      </c>
    </row>
    <row r="28" spans="2:4">
      <c r="B28" s="156" t="s">
        <v>1842</v>
      </c>
      <c r="C28" s="156" t="s">
        <v>1843</v>
      </c>
      <c r="D28" s="159" t="s">
        <v>1801</v>
      </c>
    </row>
    <row r="29" spans="2:4">
      <c r="B29" s="156" t="s">
        <v>1844</v>
      </c>
      <c r="C29" s="156" t="s">
        <v>1845</v>
      </c>
      <c r="D29" s="159" t="s">
        <v>1801</v>
      </c>
    </row>
    <row r="30" spans="2:4">
      <c r="B30" s="156" t="s">
        <v>1846</v>
      </c>
      <c r="C30" s="156" t="s">
        <v>1847</v>
      </c>
      <c r="D30" s="159" t="s">
        <v>1801</v>
      </c>
    </row>
    <row r="31" spans="2:4">
      <c r="B31" s="156" t="s">
        <v>1848</v>
      </c>
      <c r="C31" s="156" t="s">
        <v>1849</v>
      </c>
      <c r="D31" s="159" t="s">
        <v>1801</v>
      </c>
    </row>
    <row r="32" spans="2:4">
      <c r="B32" s="156" t="s">
        <v>1850</v>
      </c>
      <c r="C32" s="156" t="s">
        <v>1851</v>
      </c>
      <c r="D32" s="159" t="s">
        <v>1801</v>
      </c>
    </row>
    <row r="33" spans="2:4">
      <c r="B33" s="156" t="s">
        <v>1852</v>
      </c>
      <c r="C33" s="156" t="s">
        <v>1853</v>
      </c>
      <c r="D33" s="159" t="s">
        <v>1801</v>
      </c>
    </row>
    <row r="34" spans="2:4">
      <c r="B34" s="156" t="s">
        <v>1854</v>
      </c>
      <c r="C34" s="156" t="s">
        <v>1855</v>
      </c>
      <c r="D34" s="159" t="s">
        <v>1801</v>
      </c>
    </row>
    <row r="35" spans="2:4">
      <c r="B35" s="156" t="s">
        <v>1856</v>
      </c>
      <c r="C35" s="156" t="s">
        <v>1857</v>
      </c>
      <c r="D35" s="159" t="s">
        <v>1801</v>
      </c>
    </row>
    <row r="36" spans="2:4">
      <c r="B36" s="156" t="s">
        <v>1858</v>
      </c>
      <c r="C36" s="156" t="s">
        <v>1859</v>
      </c>
      <c r="D36" s="159" t="s">
        <v>1801</v>
      </c>
    </row>
    <row r="37" spans="2:4">
      <c r="B37" s="156" t="s">
        <v>1860</v>
      </c>
      <c r="C37" s="156" t="s">
        <v>1861</v>
      </c>
      <c r="D37" s="159" t="s">
        <v>1796</v>
      </c>
    </row>
    <row r="38" spans="2:4">
      <c r="B38" s="154" t="s">
        <v>1862</v>
      </c>
      <c r="C38" s="154" t="s">
        <v>1863</v>
      </c>
      <c r="D38" s="155" t="s">
        <v>1801</v>
      </c>
    </row>
    <row r="39" spans="2:4">
      <c r="B39" s="156" t="s">
        <v>1864</v>
      </c>
      <c r="C39" s="156" t="s">
        <v>1865</v>
      </c>
      <c r="D39" s="159" t="s">
        <v>1801</v>
      </c>
    </row>
    <row r="40" spans="2:4">
      <c r="B40" s="156" t="s">
        <v>1866</v>
      </c>
      <c r="C40" s="156" t="s">
        <v>1867</v>
      </c>
      <c r="D40" s="159" t="s">
        <v>1801</v>
      </c>
    </row>
    <row r="41" spans="2:4">
      <c r="B41" s="156" t="s">
        <v>1868</v>
      </c>
      <c r="C41" s="156" t="s">
        <v>1869</v>
      </c>
      <c r="D41" s="159" t="s">
        <v>1801</v>
      </c>
    </row>
    <row r="42" spans="2:4">
      <c r="B42" s="156" t="s">
        <v>1870</v>
      </c>
      <c r="C42" s="156" t="s">
        <v>1871</v>
      </c>
      <c r="D42" s="159" t="s">
        <v>1801</v>
      </c>
    </row>
    <row r="43" spans="2:4">
      <c r="B43" s="154" t="s">
        <v>1872</v>
      </c>
      <c r="C43" s="154" t="s">
        <v>1873</v>
      </c>
      <c r="D43" s="155" t="s">
        <v>1801</v>
      </c>
    </row>
    <row r="44" spans="2:4">
      <c r="B44" s="156" t="s">
        <v>1874</v>
      </c>
      <c r="C44" s="156" t="s">
        <v>1875</v>
      </c>
      <c r="D44" s="159" t="s">
        <v>1801</v>
      </c>
    </row>
    <row r="45" spans="2:4">
      <c r="B45" s="156" t="s">
        <v>1876</v>
      </c>
      <c r="C45" s="156" t="s">
        <v>1877</v>
      </c>
      <c r="D45" s="159" t="s">
        <v>1801</v>
      </c>
    </row>
    <row r="46" spans="2:4">
      <c r="B46" s="156" t="s">
        <v>1878</v>
      </c>
      <c r="C46" s="156" t="s">
        <v>1879</v>
      </c>
      <c r="D46" s="159" t="s">
        <v>1801</v>
      </c>
    </row>
    <row r="47" spans="2:4">
      <c r="B47" s="156" t="s">
        <v>1880</v>
      </c>
      <c r="C47" s="156" t="s">
        <v>1881</v>
      </c>
      <c r="D47" s="159" t="s">
        <v>1801</v>
      </c>
    </row>
    <row r="48" spans="2:4">
      <c r="B48" s="156" t="s">
        <v>1882</v>
      </c>
      <c r="C48" s="156" t="s">
        <v>1883</v>
      </c>
      <c r="D48" s="159" t="s">
        <v>1801</v>
      </c>
    </row>
    <row r="49" spans="2:4">
      <c r="B49" s="154" t="s">
        <v>1884</v>
      </c>
      <c r="C49" s="154" t="s">
        <v>1885</v>
      </c>
      <c r="D49" s="155" t="s">
        <v>1801</v>
      </c>
    </row>
    <row r="50" spans="2:4">
      <c r="B50" s="156" t="s">
        <v>1886</v>
      </c>
      <c r="C50" s="156" t="s">
        <v>1887</v>
      </c>
      <c r="D50" s="159" t="s">
        <v>1801</v>
      </c>
    </row>
    <row r="51" spans="2:4">
      <c r="B51" s="156" t="s">
        <v>1888</v>
      </c>
      <c r="C51" s="156" t="s">
        <v>1889</v>
      </c>
      <c r="D51" s="159" t="s">
        <v>1801</v>
      </c>
    </row>
    <row r="52" spans="2:4">
      <c r="B52" s="156" t="s">
        <v>1890</v>
      </c>
      <c r="C52" s="156" t="s">
        <v>1891</v>
      </c>
      <c r="D52" s="159" t="s">
        <v>1801</v>
      </c>
    </row>
    <row r="53" spans="2:4">
      <c r="B53" s="154" t="s">
        <v>1892</v>
      </c>
      <c r="C53" s="154" t="s">
        <v>1893</v>
      </c>
      <c r="D53" s="155" t="s">
        <v>1801</v>
      </c>
    </row>
    <row r="54" spans="2:4">
      <c r="B54" s="154" t="s">
        <v>1801</v>
      </c>
      <c r="C54" s="153" t="s">
        <v>233</v>
      </c>
      <c r="D54" s="155" t="s">
        <v>1796</v>
      </c>
    </row>
    <row r="55" spans="2:4">
      <c r="B55" s="154" t="s">
        <v>1894</v>
      </c>
      <c r="C55" s="154" t="s">
        <v>1895</v>
      </c>
      <c r="D55" s="155"/>
    </row>
    <row r="56" spans="2:4">
      <c r="B56" s="156" t="s">
        <v>1896</v>
      </c>
      <c r="C56" s="156" t="s">
        <v>1897</v>
      </c>
      <c r="D56" s="159"/>
    </row>
    <row r="57" spans="2:4">
      <c r="B57" s="154" t="s">
        <v>1898</v>
      </c>
      <c r="C57" s="154" t="s">
        <v>1899</v>
      </c>
      <c r="D57" s="155" t="s">
        <v>1801</v>
      </c>
    </row>
    <row r="58" spans="2:4">
      <c r="B58" s="156" t="s">
        <v>1900</v>
      </c>
      <c r="C58" s="156" t="s">
        <v>1901</v>
      </c>
      <c r="D58" s="159" t="s">
        <v>1801</v>
      </c>
    </row>
    <row r="59" spans="2:4">
      <c r="B59" s="154" t="s">
        <v>1902</v>
      </c>
      <c r="C59" s="154" t="s">
        <v>1903</v>
      </c>
      <c r="D59" s="155" t="s">
        <v>1801</v>
      </c>
    </row>
    <row r="60" spans="2:4">
      <c r="B60" s="156" t="s">
        <v>1904</v>
      </c>
      <c r="C60" s="156" t="s">
        <v>1905</v>
      </c>
      <c r="D60" s="159" t="s">
        <v>1801</v>
      </c>
    </row>
    <row r="61" spans="2:4">
      <c r="B61" s="154" t="s">
        <v>1801</v>
      </c>
      <c r="C61" s="153" t="s">
        <v>1906</v>
      </c>
      <c r="D61" s="155"/>
    </row>
    <row r="62" spans="2:4">
      <c r="B62" s="153" t="s">
        <v>1801</v>
      </c>
      <c r="C62" s="153" t="s">
        <v>67</v>
      </c>
      <c r="D62" s="155">
        <v>235</v>
      </c>
    </row>
  </sheetData>
  <mergeCells count="2">
    <mergeCell ref="B2:D2"/>
    <mergeCell ref="B3:C3"/>
  </mergeCells>
  <pageMargins left="0.75" right="0.75" top="1" bottom="1" header="0.5" footer="0.5"/>
  <pageSetup paperSize="9" fitToWidth="0" fitToHeight="0" pageOrder="overThenDown"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44"/>
  <sheetViews>
    <sheetView topLeftCell="B7" workbookViewId="0">
      <selection activeCell="J41" sqref="J41"/>
    </sheetView>
  </sheetViews>
  <sheetFormatPr defaultColWidth="8" defaultRowHeight="13.5" outlineLevelCol="6"/>
  <cols>
    <col min="1" max="1" width="8" style="146" hidden="true"/>
    <col min="2" max="2" width="9.625" style="146"/>
    <col min="3" max="3" width="39.375" style="146"/>
    <col min="4" max="7" width="11.375" style="146"/>
    <col min="8" max="16384" width="8" style="146"/>
  </cols>
  <sheetData>
    <row r="1" ht="14.25" spans="2:2">
      <c r="B1" s="98" t="s">
        <v>1907</v>
      </c>
    </row>
    <row r="2" ht="25" customHeight="true" spans="2:7">
      <c r="B2" s="147" t="s">
        <v>1908</v>
      </c>
      <c r="C2" s="147"/>
      <c r="D2" s="147"/>
      <c r="E2" s="147"/>
      <c r="F2" s="147"/>
      <c r="G2" s="147"/>
    </row>
    <row r="3" ht="25" customHeight="true" spans="2:7">
      <c r="B3" s="148" t="s">
        <v>1909</v>
      </c>
      <c r="C3" s="148"/>
      <c r="D3" s="149" t="s">
        <v>1910</v>
      </c>
      <c r="E3" s="149"/>
      <c r="F3" s="149"/>
      <c r="G3" s="149"/>
    </row>
    <row r="4" ht="25" customHeight="true" spans="2:7">
      <c r="B4" s="150" t="s">
        <v>1348</v>
      </c>
      <c r="C4" s="150" t="s">
        <v>1349</v>
      </c>
      <c r="D4" s="151" t="s">
        <v>13</v>
      </c>
      <c r="E4" s="157"/>
      <c r="F4" s="157"/>
      <c r="G4" s="158"/>
    </row>
    <row r="5" ht="14.25" spans="2:7">
      <c r="B5" s="152"/>
      <c r="C5" s="152"/>
      <c r="D5" s="153" t="s">
        <v>1503</v>
      </c>
      <c r="E5" s="153" t="s">
        <v>1911</v>
      </c>
      <c r="F5" s="153" t="s">
        <v>1912</v>
      </c>
      <c r="G5" s="153" t="s">
        <v>1276</v>
      </c>
    </row>
    <row r="6" ht="14.25" spans="2:7">
      <c r="B6" s="154" t="s">
        <v>1913</v>
      </c>
      <c r="C6" s="154" t="s">
        <v>1914</v>
      </c>
      <c r="D6" s="155"/>
      <c r="E6" s="155"/>
      <c r="F6" s="155"/>
      <c r="G6" s="155"/>
    </row>
    <row r="7" ht="14.25" spans="2:7">
      <c r="B7" s="154" t="s">
        <v>1915</v>
      </c>
      <c r="C7" s="154" t="s">
        <v>1916</v>
      </c>
      <c r="D7" s="155"/>
      <c r="E7" s="155"/>
      <c r="F7" s="155"/>
      <c r="G7" s="155"/>
    </row>
    <row r="8" ht="14.25" spans="2:7">
      <c r="B8" s="156" t="s">
        <v>1917</v>
      </c>
      <c r="C8" s="156" t="s">
        <v>1918</v>
      </c>
      <c r="D8" s="155"/>
      <c r="E8" s="159"/>
      <c r="F8" s="159"/>
      <c r="G8" s="159"/>
    </row>
    <row r="9" ht="14.25" spans="2:7">
      <c r="B9" s="154" t="s">
        <v>1919</v>
      </c>
      <c r="C9" s="154" t="s">
        <v>1920</v>
      </c>
      <c r="D9" s="155" t="s">
        <v>1801</v>
      </c>
      <c r="E9" s="155" t="s">
        <v>1801</v>
      </c>
      <c r="F9" s="155" t="s">
        <v>1801</v>
      </c>
      <c r="G9" s="155" t="s">
        <v>1801</v>
      </c>
    </row>
    <row r="10" ht="14.25" spans="2:7">
      <c r="B10" s="154" t="s">
        <v>1921</v>
      </c>
      <c r="C10" s="154" t="s">
        <v>1922</v>
      </c>
      <c r="D10" s="155" t="s">
        <v>1801</v>
      </c>
      <c r="E10" s="155" t="s">
        <v>1801</v>
      </c>
      <c r="F10" s="155" t="s">
        <v>1801</v>
      </c>
      <c r="G10" s="155" t="s">
        <v>1801</v>
      </c>
    </row>
    <row r="11" ht="14.25" spans="2:7">
      <c r="B11" s="156" t="s">
        <v>1923</v>
      </c>
      <c r="C11" s="156" t="s">
        <v>1924</v>
      </c>
      <c r="D11" s="155" t="s">
        <v>1801</v>
      </c>
      <c r="E11" s="159" t="s">
        <v>1801</v>
      </c>
      <c r="F11" s="159" t="s">
        <v>1801</v>
      </c>
      <c r="G11" s="159" t="s">
        <v>1801</v>
      </c>
    </row>
    <row r="12" ht="14.25" spans="2:7">
      <c r="B12" s="156" t="s">
        <v>1925</v>
      </c>
      <c r="C12" s="156" t="s">
        <v>1926</v>
      </c>
      <c r="D12" s="155" t="s">
        <v>1801</v>
      </c>
      <c r="E12" s="159" t="s">
        <v>1801</v>
      </c>
      <c r="F12" s="159" t="s">
        <v>1801</v>
      </c>
      <c r="G12" s="159" t="s">
        <v>1801</v>
      </c>
    </row>
    <row r="13" ht="14.25" spans="2:7">
      <c r="B13" s="156" t="s">
        <v>1927</v>
      </c>
      <c r="C13" s="156" t="s">
        <v>1928</v>
      </c>
      <c r="D13" s="155" t="s">
        <v>1801</v>
      </c>
      <c r="E13" s="159" t="s">
        <v>1801</v>
      </c>
      <c r="F13" s="159" t="s">
        <v>1801</v>
      </c>
      <c r="G13" s="159" t="s">
        <v>1801</v>
      </c>
    </row>
    <row r="14" ht="14.25" spans="2:7">
      <c r="B14" s="156" t="s">
        <v>1929</v>
      </c>
      <c r="C14" s="156" t="s">
        <v>1930</v>
      </c>
      <c r="D14" s="155" t="s">
        <v>1801</v>
      </c>
      <c r="E14" s="159" t="s">
        <v>1801</v>
      </c>
      <c r="F14" s="159" t="s">
        <v>1801</v>
      </c>
      <c r="G14" s="159" t="s">
        <v>1801</v>
      </c>
    </row>
    <row r="15" ht="14.25" spans="2:7">
      <c r="B15" s="156" t="s">
        <v>1931</v>
      </c>
      <c r="C15" s="156" t="s">
        <v>1932</v>
      </c>
      <c r="D15" s="155" t="s">
        <v>1801</v>
      </c>
      <c r="E15" s="159" t="s">
        <v>1801</v>
      </c>
      <c r="F15" s="159" t="s">
        <v>1801</v>
      </c>
      <c r="G15" s="159" t="s">
        <v>1801</v>
      </c>
    </row>
    <row r="16" ht="14.25" spans="2:7">
      <c r="B16" s="156" t="s">
        <v>1933</v>
      </c>
      <c r="C16" s="156" t="s">
        <v>1934</v>
      </c>
      <c r="D16" s="155" t="s">
        <v>1801</v>
      </c>
      <c r="E16" s="159" t="s">
        <v>1801</v>
      </c>
      <c r="F16" s="159" t="s">
        <v>1801</v>
      </c>
      <c r="G16" s="159" t="s">
        <v>1801</v>
      </c>
    </row>
    <row r="17" ht="14.25" spans="2:7">
      <c r="B17" s="156" t="s">
        <v>1935</v>
      </c>
      <c r="C17" s="156" t="s">
        <v>1936</v>
      </c>
      <c r="D17" s="155" t="s">
        <v>1801</v>
      </c>
      <c r="E17" s="159" t="s">
        <v>1801</v>
      </c>
      <c r="F17" s="159" t="s">
        <v>1801</v>
      </c>
      <c r="G17" s="159" t="s">
        <v>1801</v>
      </c>
    </row>
    <row r="18" ht="14.25" spans="2:7">
      <c r="B18" s="156" t="s">
        <v>1937</v>
      </c>
      <c r="C18" s="156" t="s">
        <v>1938</v>
      </c>
      <c r="D18" s="155" t="s">
        <v>1801</v>
      </c>
      <c r="E18" s="159" t="s">
        <v>1801</v>
      </c>
      <c r="F18" s="159" t="s">
        <v>1801</v>
      </c>
      <c r="G18" s="159" t="s">
        <v>1801</v>
      </c>
    </row>
    <row r="19" ht="14.25" spans="2:7">
      <c r="B19" s="156" t="s">
        <v>1939</v>
      </c>
      <c r="C19" s="156" t="s">
        <v>1940</v>
      </c>
      <c r="D19" s="155" t="s">
        <v>1801</v>
      </c>
      <c r="E19" s="159" t="s">
        <v>1801</v>
      </c>
      <c r="F19" s="159" t="s">
        <v>1801</v>
      </c>
      <c r="G19" s="159" t="s">
        <v>1801</v>
      </c>
    </row>
    <row r="20" ht="14.25" spans="2:7">
      <c r="B20" s="156" t="s">
        <v>1941</v>
      </c>
      <c r="C20" s="156" t="s">
        <v>1942</v>
      </c>
      <c r="D20" s="155" t="s">
        <v>1801</v>
      </c>
      <c r="E20" s="159" t="s">
        <v>1801</v>
      </c>
      <c r="F20" s="159" t="s">
        <v>1801</v>
      </c>
      <c r="G20" s="159" t="s">
        <v>1801</v>
      </c>
    </row>
    <row r="21" ht="14.25" spans="2:7">
      <c r="B21" s="154" t="s">
        <v>1943</v>
      </c>
      <c r="C21" s="154" t="s">
        <v>1944</v>
      </c>
      <c r="D21" s="155" t="s">
        <v>1801</v>
      </c>
      <c r="E21" s="155" t="s">
        <v>1801</v>
      </c>
      <c r="F21" s="155" t="s">
        <v>1801</v>
      </c>
      <c r="G21" s="155" t="s">
        <v>1801</v>
      </c>
    </row>
    <row r="22" ht="14.25" spans="2:7">
      <c r="B22" s="156" t="s">
        <v>1945</v>
      </c>
      <c r="C22" s="156" t="s">
        <v>1946</v>
      </c>
      <c r="D22" s="155" t="s">
        <v>1801</v>
      </c>
      <c r="E22" s="159" t="s">
        <v>1801</v>
      </c>
      <c r="F22" s="159" t="s">
        <v>1801</v>
      </c>
      <c r="G22" s="159" t="s">
        <v>1801</v>
      </c>
    </row>
    <row r="23" ht="14.25" spans="2:7">
      <c r="B23" s="156" t="s">
        <v>1947</v>
      </c>
      <c r="C23" s="156" t="s">
        <v>1948</v>
      </c>
      <c r="D23" s="155" t="s">
        <v>1801</v>
      </c>
      <c r="E23" s="159" t="s">
        <v>1801</v>
      </c>
      <c r="F23" s="159" t="s">
        <v>1801</v>
      </c>
      <c r="G23" s="159" t="s">
        <v>1801</v>
      </c>
    </row>
    <row r="24" ht="14.25" spans="2:7">
      <c r="B24" s="156" t="s">
        <v>1949</v>
      </c>
      <c r="C24" s="156" t="s">
        <v>1950</v>
      </c>
      <c r="D24" s="155" t="s">
        <v>1801</v>
      </c>
      <c r="E24" s="159" t="s">
        <v>1801</v>
      </c>
      <c r="F24" s="159" t="s">
        <v>1801</v>
      </c>
      <c r="G24" s="159" t="s">
        <v>1801</v>
      </c>
    </row>
    <row r="25" ht="14.25" spans="2:7">
      <c r="B25" s="156" t="s">
        <v>1951</v>
      </c>
      <c r="C25" s="156" t="s">
        <v>1952</v>
      </c>
      <c r="D25" s="155" t="s">
        <v>1801</v>
      </c>
      <c r="E25" s="159" t="s">
        <v>1801</v>
      </c>
      <c r="F25" s="159" t="s">
        <v>1801</v>
      </c>
      <c r="G25" s="159" t="s">
        <v>1801</v>
      </c>
    </row>
    <row r="26" ht="14.25" spans="2:7">
      <c r="B26" s="156" t="s">
        <v>1953</v>
      </c>
      <c r="C26" s="156" t="s">
        <v>1954</v>
      </c>
      <c r="D26" s="155" t="s">
        <v>1801</v>
      </c>
      <c r="E26" s="159" t="s">
        <v>1801</v>
      </c>
      <c r="F26" s="159" t="s">
        <v>1801</v>
      </c>
      <c r="G26" s="159" t="s">
        <v>1801</v>
      </c>
    </row>
    <row r="27" ht="14.25" spans="2:7">
      <c r="B27" s="156" t="s">
        <v>1955</v>
      </c>
      <c r="C27" s="156" t="s">
        <v>1956</v>
      </c>
      <c r="D27" s="155" t="s">
        <v>1801</v>
      </c>
      <c r="E27" s="159" t="s">
        <v>1801</v>
      </c>
      <c r="F27" s="159" t="s">
        <v>1801</v>
      </c>
      <c r="G27" s="159" t="s">
        <v>1801</v>
      </c>
    </row>
    <row r="28" ht="14.25" spans="2:7">
      <c r="B28" s="156" t="s">
        <v>1957</v>
      </c>
      <c r="C28" s="156" t="s">
        <v>1958</v>
      </c>
      <c r="D28" s="155" t="s">
        <v>1801</v>
      </c>
      <c r="E28" s="159" t="s">
        <v>1801</v>
      </c>
      <c r="F28" s="159" t="s">
        <v>1801</v>
      </c>
      <c r="G28" s="159" t="s">
        <v>1801</v>
      </c>
    </row>
    <row r="29" ht="14.25" spans="2:7">
      <c r="B29" s="156" t="s">
        <v>1959</v>
      </c>
      <c r="C29" s="156" t="s">
        <v>1960</v>
      </c>
      <c r="D29" s="155" t="s">
        <v>1801</v>
      </c>
      <c r="E29" s="159" t="s">
        <v>1801</v>
      </c>
      <c r="F29" s="159" t="s">
        <v>1801</v>
      </c>
      <c r="G29" s="159" t="s">
        <v>1801</v>
      </c>
    </row>
    <row r="30" ht="14.25" spans="2:7">
      <c r="B30" s="154" t="s">
        <v>1961</v>
      </c>
      <c r="C30" s="154" t="s">
        <v>1962</v>
      </c>
      <c r="D30" s="155" t="s">
        <v>1801</v>
      </c>
      <c r="E30" s="155" t="s">
        <v>1801</v>
      </c>
      <c r="F30" s="155" t="s">
        <v>1801</v>
      </c>
      <c r="G30" s="155" t="s">
        <v>1801</v>
      </c>
    </row>
    <row r="31" ht="14.25" spans="2:7">
      <c r="B31" s="156" t="s">
        <v>1963</v>
      </c>
      <c r="C31" s="156" t="s">
        <v>1964</v>
      </c>
      <c r="D31" s="155" t="s">
        <v>1801</v>
      </c>
      <c r="E31" s="159" t="s">
        <v>1801</v>
      </c>
      <c r="F31" s="159" t="s">
        <v>1801</v>
      </c>
      <c r="G31" s="159" t="s">
        <v>1801</v>
      </c>
    </row>
    <row r="32" ht="14.25" spans="2:7">
      <c r="B32" s="154" t="s">
        <v>1965</v>
      </c>
      <c r="C32" s="154" t="s">
        <v>1966</v>
      </c>
      <c r="D32" s="155" t="s">
        <v>1801</v>
      </c>
      <c r="E32" s="155" t="s">
        <v>1801</v>
      </c>
      <c r="F32" s="155" t="s">
        <v>1801</v>
      </c>
      <c r="G32" s="155" t="s">
        <v>1801</v>
      </c>
    </row>
    <row r="33" ht="14.25" spans="2:7">
      <c r="B33" s="156" t="s">
        <v>1967</v>
      </c>
      <c r="C33" s="156" t="s">
        <v>1968</v>
      </c>
      <c r="D33" s="155" t="s">
        <v>1801</v>
      </c>
      <c r="E33" s="159" t="s">
        <v>1801</v>
      </c>
      <c r="F33" s="159" t="s">
        <v>1801</v>
      </c>
      <c r="G33" s="159" t="s">
        <v>1801</v>
      </c>
    </row>
    <row r="34" ht="14.25" spans="2:7">
      <c r="B34" s="154" t="s">
        <v>1801</v>
      </c>
      <c r="C34" s="153" t="s">
        <v>234</v>
      </c>
      <c r="D34" s="155"/>
      <c r="E34" s="155"/>
      <c r="F34" s="155"/>
      <c r="G34" s="155"/>
    </row>
    <row r="35" ht="14.25" spans="2:7">
      <c r="B35" s="154" t="s">
        <v>1969</v>
      </c>
      <c r="C35" s="154" t="s">
        <v>1970</v>
      </c>
      <c r="D35" s="155" t="s">
        <v>1796</v>
      </c>
      <c r="E35" s="155" t="s">
        <v>1801</v>
      </c>
      <c r="F35" s="155" t="s">
        <v>1796</v>
      </c>
      <c r="G35" s="155" t="s">
        <v>1801</v>
      </c>
    </row>
    <row r="36" ht="14.25" spans="2:7">
      <c r="B36" s="154" t="s">
        <v>1971</v>
      </c>
      <c r="C36" s="154" t="s">
        <v>1972</v>
      </c>
      <c r="D36" s="155" t="s">
        <v>1801</v>
      </c>
      <c r="E36" s="155" t="s">
        <v>1801</v>
      </c>
      <c r="F36" s="155" t="s">
        <v>1801</v>
      </c>
      <c r="G36" s="155" t="s">
        <v>1801</v>
      </c>
    </row>
    <row r="37" ht="14.25" spans="2:7">
      <c r="B37" s="156" t="s">
        <v>1973</v>
      </c>
      <c r="C37" s="156" t="s">
        <v>1974</v>
      </c>
      <c r="D37" s="155" t="s">
        <v>1801</v>
      </c>
      <c r="E37" s="159" t="s">
        <v>1801</v>
      </c>
      <c r="F37" s="159" t="s">
        <v>1801</v>
      </c>
      <c r="G37" s="159" t="s">
        <v>1801</v>
      </c>
    </row>
    <row r="38" ht="14.25" spans="2:7">
      <c r="B38" s="154" t="s">
        <v>1975</v>
      </c>
      <c r="C38" s="154" t="s">
        <v>1976</v>
      </c>
      <c r="D38" s="155" t="s">
        <v>1801</v>
      </c>
      <c r="E38" s="155" t="s">
        <v>1801</v>
      </c>
      <c r="F38" s="155" t="s">
        <v>1801</v>
      </c>
      <c r="G38" s="155" t="s">
        <v>1801</v>
      </c>
    </row>
    <row r="39" ht="14.25" spans="2:7">
      <c r="B39" s="156" t="s">
        <v>1977</v>
      </c>
      <c r="C39" s="156" t="s">
        <v>1978</v>
      </c>
      <c r="D39" s="155" t="s">
        <v>1801</v>
      </c>
      <c r="E39" s="159" t="s">
        <v>1801</v>
      </c>
      <c r="F39" s="159" t="s">
        <v>1801</v>
      </c>
      <c r="G39" s="159" t="s">
        <v>1801</v>
      </c>
    </row>
    <row r="40" ht="14.25" spans="2:7">
      <c r="B40" s="154" t="s">
        <v>1979</v>
      </c>
      <c r="C40" s="154" t="s">
        <v>1980</v>
      </c>
      <c r="D40" s="155" t="s">
        <v>1796</v>
      </c>
      <c r="E40" s="155" t="s">
        <v>1801</v>
      </c>
      <c r="F40" s="155" t="s">
        <v>1796</v>
      </c>
      <c r="G40" s="155" t="s">
        <v>1801</v>
      </c>
    </row>
    <row r="41" ht="14.25" spans="2:7">
      <c r="B41" s="156" t="s">
        <v>1981</v>
      </c>
      <c r="C41" s="156" t="s">
        <v>1982</v>
      </c>
      <c r="D41" s="155" t="s">
        <v>1796</v>
      </c>
      <c r="E41" s="159" t="s">
        <v>1801</v>
      </c>
      <c r="F41" s="159" t="s">
        <v>1796</v>
      </c>
      <c r="G41" s="159" t="s">
        <v>1801</v>
      </c>
    </row>
    <row r="42" ht="14.25" spans="2:7">
      <c r="B42" s="154" t="s">
        <v>1983</v>
      </c>
      <c r="C42" s="154" t="s">
        <v>1984</v>
      </c>
      <c r="D42" s="155" t="s">
        <v>1801</v>
      </c>
      <c r="E42" s="155" t="s">
        <v>1801</v>
      </c>
      <c r="F42" s="155" t="s">
        <v>1801</v>
      </c>
      <c r="G42" s="155" t="s">
        <v>1801</v>
      </c>
    </row>
    <row r="43" ht="14.25" spans="2:7">
      <c r="B43" s="156" t="s">
        <v>1985</v>
      </c>
      <c r="C43" s="156" t="s">
        <v>1986</v>
      </c>
      <c r="D43" s="155" t="s">
        <v>1801</v>
      </c>
      <c r="E43" s="159" t="s">
        <v>1801</v>
      </c>
      <c r="F43" s="159" t="s">
        <v>1801</v>
      </c>
      <c r="G43" s="159" t="s">
        <v>1801</v>
      </c>
    </row>
    <row r="44" ht="14.25" spans="2:7">
      <c r="B44" s="154" t="s">
        <v>1801</v>
      </c>
      <c r="C44" s="153" t="s">
        <v>68</v>
      </c>
      <c r="D44" s="155">
        <v>235</v>
      </c>
      <c r="E44" s="155" t="s">
        <v>1801</v>
      </c>
      <c r="F44" s="155">
        <v>235</v>
      </c>
      <c r="G44" s="155" t="s">
        <v>1801</v>
      </c>
    </row>
  </sheetData>
  <mergeCells count="6">
    <mergeCell ref="B2:G2"/>
    <mergeCell ref="B3:C3"/>
    <mergeCell ref="D3:G3"/>
    <mergeCell ref="D4:G4"/>
    <mergeCell ref="B4:B5"/>
    <mergeCell ref="C4:C5"/>
  </mergeCells>
  <pageMargins left="0.75" right="0.75" top="1" bottom="1" header="0.5" footer="0.5"/>
  <pageSetup paperSize="9" fitToWidth="0" fitToHeight="0" pageOrder="overThenDown" orientation="portrait"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21"/>
  <sheetViews>
    <sheetView showGridLines="0" showZeros="0" zoomScale="130" zoomScaleNormal="130" workbookViewId="0">
      <pane xSplit="1" ySplit="5" topLeftCell="B12" activePane="bottomRight" state="frozen"/>
      <selection/>
      <selection pane="topRight"/>
      <selection pane="bottomLeft"/>
      <selection pane="bottomRight" activeCell="A1" sqref="A1"/>
    </sheetView>
  </sheetViews>
  <sheetFormatPr defaultColWidth="9" defaultRowHeight="14.25"/>
  <cols>
    <col min="1" max="1" width="40.875" style="130" customWidth="true"/>
    <col min="2" max="2" width="11" style="130" customWidth="true"/>
    <col min="3" max="3" width="42.1666666666667" style="130" customWidth="true"/>
    <col min="4" max="4" width="11.1666666666667" style="130" customWidth="true"/>
    <col min="5" max="237" width="9" style="130" customWidth="true"/>
    <col min="238" max="16372" width="9" style="127" customWidth="true"/>
  </cols>
  <sheetData>
    <row r="1" s="127" customFormat="true" ht="23.1" customHeight="true" spans="1:237">
      <c r="A1" s="98" t="s">
        <v>1987</v>
      </c>
      <c r="B1" s="98"/>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c r="CV1" s="130"/>
      <c r="CW1" s="130"/>
      <c r="CX1" s="130"/>
      <c r="CY1" s="130"/>
      <c r="CZ1" s="130"/>
      <c r="DA1" s="130"/>
      <c r="DB1" s="130"/>
      <c r="DC1" s="130"/>
      <c r="DD1" s="130"/>
      <c r="DE1" s="130"/>
      <c r="DF1" s="130"/>
      <c r="DG1" s="130"/>
      <c r="DH1" s="130"/>
      <c r="DI1" s="130"/>
      <c r="DJ1" s="130"/>
      <c r="DK1" s="130"/>
      <c r="DL1" s="130"/>
      <c r="DM1" s="130"/>
      <c r="DN1" s="130"/>
      <c r="DO1" s="130"/>
      <c r="DP1" s="130"/>
      <c r="DQ1" s="130"/>
      <c r="DR1" s="130"/>
      <c r="DS1" s="130"/>
      <c r="DT1" s="130"/>
      <c r="DU1" s="130"/>
      <c r="DV1" s="130"/>
      <c r="DW1" s="130"/>
      <c r="DX1" s="130"/>
      <c r="DY1" s="130"/>
      <c r="DZ1" s="130"/>
      <c r="EA1" s="130"/>
      <c r="EB1" s="130"/>
      <c r="EC1" s="130"/>
      <c r="ED1" s="130"/>
      <c r="EE1" s="130"/>
      <c r="EF1" s="130"/>
      <c r="EG1" s="130"/>
      <c r="EH1" s="130"/>
      <c r="EI1" s="130"/>
      <c r="EJ1" s="130"/>
      <c r="EK1" s="130"/>
      <c r="EL1" s="130"/>
      <c r="EM1" s="130"/>
      <c r="EN1" s="130"/>
      <c r="EO1" s="130"/>
      <c r="EP1" s="130"/>
      <c r="EQ1" s="130"/>
      <c r="ER1" s="130"/>
      <c r="ES1" s="130"/>
      <c r="ET1" s="130"/>
      <c r="EU1" s="130"/>
      <c r="EV1" s="130"/>
      <c r="EW1" s="130"/>
      <c r="EX1" s="130"/>
      <c r="EY1" s="130"/>
      <c r="EZ1" s="130"/>
      <c r="FA1" s="130"/>
      <c r="FB1" s="130"/>
      <c r="FC1" s="130"/>
      <c r="FD1" s="130"/>
      <c r="FE1" s="130"/>
      <c r="FF1" s="130"/>
      <c r="FG1" s="130"/>
      <c r="FH1" s="130"/>
      <c r="FI1" s="130"/>
      <c r="FJ1" s="130"/>
      <c r="FK1" s="130"/>
      <c r="FL1" s="130"/>
      <c r="FM1" s="130"/>
      <c r="FN1" s="130"/>
      <c r="FO1" s="130"/>
      <c r="FP1" s="130"/>
      <c r="FQ1" s="130"/>
      <c r="FR1" s="130"/>
      <c r="FS1" s="130"/>
      <c r="FT1" s="130"/>
      <c r="FU1" s="130"/>
      <c r="FV1" s="130"/>
      <c r="FW1" s="130"/>
      <c r="FX1" s="130"/>
      <c r="FY1" s="130"/>
      <c r="FZ1" s="130"/>
      <c r="GA1" s="130"/>
      <c r="GB1" s="130"/>
      <c r="GC1" s="130"/>
      <c r="GD1" s="130"/>
      <c r="GE1" s="130"/>
      <c r="GF1" s="130"/>
      <c r="GG1" s="130"/>
      <c r="GH1" s="130"/>
      <c r="GI1" s="130"/>
      <c r="GJ1" s="130"/>
      <c r="GK1" s="130"/>
      <c r="GL1" s="130"/>
      <c r="GM1" s="130"/>
      <c r="GN1" s="130"/>
      <c r="GO1" s="130"/>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c r="HS1" s="130"/>
      <c r="HT1" s="130"/>
      <c r="HU1" s="130"/>
      <c r="HV1" s="130"/>
      <c r="HW1" s="130"/>
      <c r="HX1" s="130"/>
      <c r="HY1" s="130"/>
      <c r="HZ1" s="130"/>
      <c r="IA1" s="130"/>
      <c r="IB1" s="130"/>
      <c r="IC1" s="130"/>
    </row>
    <row r="2" s="127" customFormat="true" ht="30" customHeight="true" spans="1:237">
      <c r="A2" s="131" t="s">
        <v>1988</v>
      </c>
      <c r="B2" s="131"/>
      <c r="C2" s="131"/>
      <c r="D2" s="131"/>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row>
    <row r="3" s="127" customFormat="true" ht="26.1" customHeight="true" spans="1:237">
      <c r="A3" s="130"/>
      <c r="B3" s="98"/>
      <c r="C3" s="130"/>
      <c r="D3" s="130" t="s">
        <v>3</v>
      </c>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row>
    <row r="4" s="128" customFormat="true" ht="30.95" customHeight="true" spans="1:4">
      <c r="A4" s="132" t="s">
        <v>245</v>
      </c>
      <c r="B4" s="132"/>
      <c r="C4" s="132" t="s">
        <v>246</v>
      </c>
      <c r="D4" s="132"/>
    </row>
    <row r="5" s="128" customFormat="true" ht="30.95" customHeight="true" spans="1:4">
      <c r="A5" s="132" t="s">
        <v>247</v>
      </c>
      <c r="B5" s="62" t="s">
        <v>6</v>
      </c>
      <c r="C5" s="133" t="s">
        <v>249</v>
      </c>
      <c r="D5" s="134" t="s">
        <v>6</v>
      </c>
    </row>
    <row r="6" s="128" customFormat="true" ht="30.95" customHeight="true" spans="1:4">
      <c r="A6" s="135" t="s">
        <v>250</v>
      </c>
      <c r="B6" s="136"/>
      <c r="C6" s="135" t="s">
        <v>250</v>
      </c>
      <c r="D6" s="137"/>
    </row>
    <row r="7" s="128" customFormat="true" ht="30.95" customHeight="true" spans="1:4">
      <c r="A7" s="135" t="s">
        <v>251</v>
      </c>
      <c r="B7" s="136"/>
      <c r="C7" s="135" t="s">
        <v>251</v>
      </c>
      <c r="D7" s="137"/>
    </row>
    <row r="8" s="128" customFormat="true" ht="30.95" customHeight="true" spans="1:4">
      <c r="A8" s="135" t="s">
        <v>252</v>
      </c>
      <c r="B8" s="136">
        <v>63404</v>
      </c>
      <c r="C8" s="135" t="s">
        <v>252</v>
      </c>
      <c r="D8" s="137">
        <v>63315</v>
      </c>
    </row>
    <row r="9" s="128" customFormat="true" ht="30.95" customHeight="true" spans="1:4">
      <c r="A9" s="135" t="s">
        <v>253</v>
      </c>
      <c r="B9" s="136">
        <v>83863</v>
      </c>
      <c r="C9" s="135" t="s">
        <v>253</v>
      </c>
      <c r="D9" s="137">
        <v>62956</v>
      </c>
    </row>
    <row r="10" s="128" customFormat="true" ht="30.95" customHeight="true" spans="1:4">
      <c r="A10" s="135" t="s">
        <v>254</v>
      </c>
      <c r="B10" s="136">
        <v>127711</v>
      </c>
      <c r="C10" s="135" t="s">
        <v>255</v>
      </c>
      <c r="D10" s="137">
        <v>109544</v>
      </c>
    </row>
    <row r="11" s="128" customFormat="true" ht="30.95" customHeight="true" spans="1:4">
      <c r="A11" s="135" t="s">
        <v>256</v>
      </c>
      <c r="B11" s="136">
        <v>7181</v>
      </c>
      <c r="C11" s="135" t="s">
        <v>256</v>
      </c>
      <c r="D11" s="137">
        <v>7181</v>
      </c>
    </row>
    <row r="12" s="128" customFormat="true" ht="30.95" customHeight="true" spans="1:4">
      <c r="A12" s="135" t="s">
        <v>257</v>
      </c>
      <c r="B12" s="136"/>
      <c r="C12" s="135" t="s">
        <v>257</v>
      </c>
      <c r="D12" s="137"/>
    </row>
    <row r="13" s="128" customFormat="true" ht="30.95" customHeight="true" spans="1:4">
      <c r="A13" s="138"/>
      <c r="B13" s="136"/>
      <c r="C13" s="138"/>
      <c r="D13" s="137"/>
    </row>
    <row r="14" s="128" customFormat="true" ht="30.95" customHeight="true" spans="1:4">
      <c r="A14" s="139"/>
      <c r="B14" s="136"/>
      <c r="C14" s="139"/>
      <c r="D14" s="137"/>
    </row>
    <row r="15" s="128" customFormat="true" ht="30.95" customHeight="true" spans="1:4">
      <c r="A15" s="140"/>
      <c r="B15" s="136"/>
      <c r="C15" s="140"/>
      <c r="D15" s="137"/>
    </row>
    <row r="16" s="128" customFormat="true" ht="30.95" customHeight="true" spans="1:4">
      <c r="A16" s="139"/>
      <c r="B16" s="136"/>
      <c r="C16" s="139"/>
      <c r="D16" s="137"/>
    </row>
    <row r="17" s="129" customFormat="true" ht="30.95" customHeight="true" spans="1:244">
      <c r="A17" s="132" t="s">
        <v>203</v>
      </c>
      <c r="B17" s="141">
        <f>SUM(B6:B16)</f>
        <v>282159</v>
      </c>
      <c r="C17" s="132" t="s">
        <v>204</v>
      </c>
      <c r="D17" s="142">
        <f>D6+D7+D8+D9+D10+D11+D12</f>
        <v>242996</v>
      </c>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c r="GT17" s="144"/>
      <c r="GU17" s="144"/>
      <c r="GV17" s="144"/>
      <c r="GW17" s="144"/>
      <c r="GX17" s="144"/>
      <c r="GY17" s="144"/>
      <c r="GZ17" s="144"/>
      <c r="HA17" s="144"/>
      <c r="HB17" s="144"/>
      <c r="HC17" s="144"/>
      <c r="HD17" s="144"/>
      <c r="HE17" s="144"/>
      <c r="HF17" s="144"/>
      <c r="HG17" s="144"/>
      <c r="HH17" s="144"/>
      <c r="HI17" s="144"/>
      <c r="HJ17" s="144"/>
      <c r="HK17" s="144"/>
      <c r="HL17" s="144"/>
      <c r="HM17" s="144"/>
      <c r="HN17" s="144"/>
      <c r="HO17" s="144"/>
      <c r="HP17" s="144"/>
      <c r="HQ17" s="144"/>
      <c r="HR17" s="144"/>
      <c r="HS17" s="144"/>
      <c r="HT17" s="144"/>
      <c r="HU17" s="144"/>
      <c r="HV17" s="144"/>
      <c r="HW17" s="144"/>
      <c r="HX17" s="144"/>
      <c r="HY17" s="144"/>
      <c r="HZ17" s="144"/>
      <c r="IA17" s="144"/>
      <c r="IB17" s="144"/>
      <c r="IC17" s="144"/>
      <c r="ID17" s="145"/>
      <c r="IE17" s="145"/>
      <c r="IF17" s="145"/>
      <c r="IG17" s="145"/>
      <c r="IH17" s="145"/>
      <c r="II17" s="145"/>
      <c r="IJ17" s="145"/>
    </row>
    <row r="18" s="128" customFormat="true" ht="30.95" customHeight="true" spans="1:4">
      <c r="A18" s="143" t="s">
        <v>258</v>
      </c>
      <c r="B18" s="136">
        <f>622173-282159</f>
        <v>340014</v>
      </c>
      <c r="C18" s="139" t="s">
        <v>259</v>
      </c>
      <c r="D18" s="137">
        <f>369231</f>
        <v>369231</v>
      </c>
    </row>
    <row r="19" s="128" customFormat="true" ht="30.95" customHeight="true" spans="1:4">
      <c r="A19" s="143" t="s">
        <v>260</v>
      </c>
      <c r="B19" s="136"/>
      <c r="C19" s="143" t="s">
        <v>261</v>
      </c>
      <c r="D19" s="137">
        <f>1490+8456</f>
        <v>9946</v>
      </c>
    </row>
    <row r="20" s="129" customFormat="true" ht="30.95" customHeight="true" spans="1:244">
      <c r="A20" s="132" t="s">
        <v>67</v>
      </c>
      <c r="B20" s="141">
        <f>B17+B18+B19</f>
        <v>622173</v>
      </c>
      <c r="C20" s="132" t="s">
        <v>68</v>
      </c>
      <c r="D20" s="141">
        <f>D17+D18+D19</f>
        <v>622173</v>
      </c>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c r="FS20" s="144"/>
      <c r="FT20" s="144"/>
      <c r="FU20" s="144"/>
      <c r="FV20" s="144"/>
      <c r="FW20" s="144"/>
      <c r="FX20" s="144"/>
      <c r="FY20" s="144"/>
      <c r="FZ20" s="144"/>
      <c r="GA20" s="144"/>
      <c r="GB20" s="144"/>
      <c r="GC20" s="144"/>
      <c r="GD20" s="144"/>
      <c r="GE20" s="144"/>
      <c r="GF20" s="144"/>
      <c r="GG20" s="144"/>
      <c r="GH20" s="144"/>
      <c r="GI20" s="144"/>
      <c r="GJ20" s="144"/>
      <c r="GK20" s="144"/>
      <c r="GL20" s="144"/>
      <c r="GM20" s="144"/>
      <c r="GN20" s="144"/>
      <c r="GO20" s="144"/>
      <c r="GP20" s="144"/>
      <c r="GQ20" s="144"/>
      <c r="GR20" s="144"/>
      <c r="GS20" s="144"/>
      <c r="GT20" s="144"/>
      <c r="GU20" s="144"/>
      <c r="GV20" s="144"/>
      <c r="GW20" s="144"/>
      <c r="GX20" s="144"/>
      <c r="GY20" s="144"/>
      <c r="GZ20" s="144"/>
      <c r="HA20" s="144"/>
      <c r="HB20" s="144"/>
      <c r="HC20" s="144"/>
      <c r="HD20" s="144"/>
      <c r="HE20" s="144"/>
      <c r="HF20" s="144"/>
      <c r="HG20" s="144"/>
      <c r="HH20" s="144"/>
      <c r="HI20" s="144"/>
      <c r="HJ20" s="144"/>
      <c r="HK20" s="144"/>
      <c r="HL20" s="144"/>
      <c r="HM20" s="144"/>
      <c r="HN20" s="144"/>
      <c r="HO20" s="144"/>
      <c r="HP20" s="144"/>
      <c r="HQ20" s="144"/>
      <c r="HR20" s="144"/>
      <c r="HS20" s="144"/>
      <c r="HT20" s="144"/>
      <c r="HU20" s="144"/>
      <c r="HV20" s="144"/>
      <c r="HW20" s="144"/>
      <c r="HX20" s="144"/>
      <c r="HY20" s="144"/>
      <c r="HZ20" s="144"/>
      <c r="IA20" s="144"/>
      <c r="IB20" s="144"/>
      <c r="IC20" s="144"/>
      <c r="ID20" s="145"/>
      <c r="IE20" s="145"/>
      <c r="IF20" s="145"/>
      <c r="IG20" s="145"/>
      <c r="IH20" s="145"/>
      <c r="II20" s="145"/>
      <c r="IJ20" s="145"/>
    </row>
    <row r="21" ht="21" customHeight="true"/>
  </sheetData>
  <mergeCells count="3">
    <mergeCell ref="A2:D2"/>
    <mergeCell ref="A4:B4"/>
    <mergeCell ref="C4:D4"/>
  </mergeCells>
  <printOptions horizontalCentered="true"/>
  <pageMargins left="0.35" right="0.35" top="0.511805555555556" bottom="0.590277777777778" header="0.468055555555556" footer="0.550694444444444"/>
  <pageSetup paperSize="9" firstPageNumber="14" orientation="landscape" useFirstPageNumber="true" horizontalDpi="600" verticalDpi="600"/>
  <headerFooter alignWithMargins="0" scaleWithDoc="0">
    <oddFooter>&amp;C&amp;"Arial"&amp;10第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384"/>
  <sheetViews>
    <sheetView workbookViewId="0">
      <selection activeCell="H9" sqref="H9"/>
    </sheetView>
  </sheetViews>
  <sheetFormatPr defaultColWidth="9" defaultRowHeight="14.25"/>
  <cols>
    <col min="1" max="1" width="45.75" customWidth="true"/>
    <col min="2" max="2" width="15.5" customWidth="true"/>
    <col min="3" max="3" width="13.75" customWidth="true"/>
    <col min="4" max="4" width="16.375" customWidth="true"/>
    <col min="5" max="5" width="16.125" customWidth="true"/>
    <col min="6" max="6" width="19.25" customWidth="true"/>
    <col min="7" max="7" width="14.125" customWidth="true"/>
    <col min="8" max="8" width="13" customWidth="true"/>
    <col min="9" max="9" width="25" customWidth="true"/>
  </cols>
  <sheetData>
    <row r="1" spans="1:1">
      <c r="A1" s="98" t="s">
        <v>1989</v>
      </c>
    </row>
    <row r="2" s="96" customFormat="true" ht="33" customHeight="true" spans="1:9">
      <c r="A2" s="99" t="s">
        <v>1990</v>
      </c>
      <c r="B2" s="100"/>
      <c r="C2" s="100"/>
      <c r="D2" s="101"/>
      <c r="E2" s="100"/>
      <c r="F2" s="100"/>
      <c r="G2" s="100"/>
      <c r="H2" s="100"/>
      <c r="I2" s="100"/>
    </row>
    <row r="3" s="96" customFormat="true" spans="1:9">
      <c r="A3" s="102"/>
      <c r="B3" s="102"/>
      <c r="C3" s="102"/>
      <c r="D3" s="103"/>
      <c r="E3" s="102"/>
      <c r="F3" s="102"/>
      <c r="G3" s="102"/>
      <c r="H3" s="102"/>
      <c r="I3" s="123"/>
    </row>
    <row r="4" s="96" customFormat="true" spans="1:9">
      <c r="A4" s="104"/>
      <c r="B4" s="104"/>
      <c r="C4" s="105"/>
      <c r="D4" s="106"/>
      <c r="E4" s="104"/>
      <c r="F4" s="104"/>
      <c r="G4" s="104"/>
      <c r="H4" s="104"/>
      <c r="I4" s="124" t="s">
        <v>3</v>
      </c>
    </row>
    <row r="5" s="96" customFormat="true" ht="42.75" spans="1:9">
      <c r="A5" s="107" t="s">
        <v>1991</v>
      </c>
      <c r="B5" s="108" t="s">
        <v>1312</v>
      </c>
      <c r="C5" s="109" t="s">
        <v>1992</v>
      </c>
      <c r="D5" s="109" t="s">
        <v>1993</v>
      </c>
      <c r="E5" s="120" t="s">
        <v>1994</v>
      </c>
      <c r="F5" s="121" t="s">
        <v>1995</v>
      </c>
      <c r="G5" s="121" t="s">
        <v>1996</v>
      </c>
      <c r="H5" s="121" t="s">
        <v>1997</v>
      </c>
      <c r="I5" s="108" t="s">
        <v>1998</v>
      </c>
    </row>
    <row r="6" s="97" customFormat="true" ht="27" customHeight="true" spans="1:9">
      <c r="A6" s="110" t="s">
        <v>1999</v>
      </c>
      <c r="B6" s="111">
        <v>282159.41883</v>
      </c>
      <c r="C6" s="112">
        <v>0</v>
      </c>
      <c r="D6" s="112"/>
      <c r="E6" s="119">
        <v>63404.250672</v>
      </c>
      <c r="F6" s="119">
        <v>83862.792158</v>
      </c>
      <c r="G6" s="119">
        <v>127711.376</v>
      </c>
      <c r="H6" s="119">
        <v>7181</v>
      </c>
      <c r="I6" s="125">
        <v>0</v>
      </c>
    </row>
    <row r="7" s="96" customFormat="true" ht="27" customHeight="true" spans="1:9">
      <c r="A7" s="113" t="s">
        <v>2000</v>
      </c>
      <c r="B7" s="114">
        <v>170742.94483</v>
      </c>
      <c r="C7" s="115">
        <v>0</v>
      </c>
      <c r="D7" s="116"/>
      <c r="E7" s="115">
        <v>35997.250672</v>
      </c>
      <c r="F7" s="115">
        <v>80372.792158</v>
      </c>
      <c r="G7" s="115">
        <v>47191.902</v>
      </c>
      <c r="H7" s="115">
        <v>7181</v>
      </c>
      <c r="I7" s="126">
        <v>0</v>
      </c>
    </row>
    <row r="8" s="96" customFormat="true" ht="27" customHeight="true" spans="1:9">
      <c r="A8" s="113" t="s">
        <v>2001</v>
      </c>
      <c r="B8" s="114">
        <v>111262.474</v>
      </c>
      <c r="C8" s="115">
        <v>0</v>
      </c>
      <c r="D8" s="116"/>
      <c r="E8" s="115">
        <v>26900</v>
      </c>
      <c r="F8" s="115">
        <v>2</v>
      </c>
      <c r="G8" s="115">
        <v>77179.474</v>
      </c>
      <c r="H8" s="115">
        <v>7181</v>
      </c>
      <c r="I8" s="126">
        <v>0</v>
      </c>
    </row>
    <row r="9" s="96" customFormat="true" ht="27" customHeight="true" spans="1:9">
      <c r="A9" s="117" t="s">
        <v>2002</v>
      </c>
      <c r="B9" s="114">
        <v>5940</v>
      </c>
      <c r="C9" s="115">
        <v>0</v>
      </c>
      <c r="D9" s="116"/>
      <c r="E9" s="115">
        <v>260</v>
      </c>
      <c r="F9" s="115">
        <v>3280</v>
      </c>
      <c r="G9" s="115">
        <v>2400</v>
      </c>
      <c r="H9" s="115">
        <v>0</v>
      </c>
      <c r="I9" s="126">
        <v>0</v>
      </c>
    </row>
    <row r="10" s="96" customFormat="true" ht="27" customHeight="true" spans="1:9">
      <c r="A10" s="117" t="s">
        <v>2003</v>
      </c>
      <c r="B10" s="114">
        <v>0</v>
      </c>
      <c r="C10" s="115">
        <v>0</v>
      </c>
      <c r="D10" s="116"/>
      <c r="E10" s="122">
        <v>0</v>
      </c>
      <c r="F10" s="115">
        <v>0</v>
      </c>
      <c r="G10" s="115">
        <v>0</v>
      </c>
      <c r="H10" s="115"/>
      <c r="I10" s="115"/>
    </row>
    <row r="11" s="96" customFormat="true" ht="27" customHeight="true" spans="1:9">
      <c r="A11" s="117" t="s">
        <v>2004</v>
      </c>
      <c r="B11" s="114">
        <v>263</v>
      </c>
      <c r="C11" s="115">
        <v>0</v>
      </c>
      <c r="D11" s="116"/>
      <c r="E11" s="115">
        <v>240</v>
      </c>
      <c r="F11" s="115">
        <v>23</v>
      </c>
      <c r="G11" s="115">
        <v>0</v>
      </c>
      <c r="H11" s="115"/>
      <c r="I11" s="115">
        <v>0</v>
      </c>
    </row>
    <row r="12" s="96" customFormat="true" ht="27" customHeight="true" spans="1:9">
      <c r="A12" s="117" t="s">
        <v>2005</v>
      </c>
      <c r="B12" s="114">
        <v>1132</v>
      </c>
      <c r="C12" s="115">
        <v>0</v>
      </c>
      <c r="D12" s="116"/>
      <c r="E12" s="115">
        <v>7</v>
      </c>
      <c r="F12" s="115">
        <v>185</v>
      </c>
      <c r="G12" s="115">
        <v>940</v>
      </c>
      <c r="H12" s="115">
        <v>0</v>
      </c>
      <c r="I12" s="115">
        <v>0</v>
      </c>
    </row>
    <row r="13" s="96" customFormat="true" ht="27" customHeight="true" spans="1:9">
      <c r="A13" s="117" t="s">
        <v>2006</v>
      </c>
      <c r="B13" s="114">
        <v>0</v>
      </c>
      <c r="C13" s="115">
        <v>0</v>
      </c>
      <c r="D13" s="116"/>
      <c r="E13" s="115">
        <v>0</v>
      </c>
      <c r="F13" s="115">
        <v>0</v>
      </c>
      <c r="G13" s="115">
        <v>0</v>
      </c>
      <c r="H13" s="115"/>
      <c r="I13" s="115"/>
    </row>
    <row r="14" s="96" customFormat="true" ht="27" customHeight="true" spans="1:9">
      <c r="A14" s="117" t="s">
        <v>2007</v>
      </c>
      <c r="B14" s="114">
        <v>0</v>
      </c>
      <c r="C14" s="115">
        <v>0</v>
      </c>
      <c r="D14" s="116"/>
      <c r="E14" s="115">
        <v>0</v>
      </c>
      <c r="F14" s="115">
        <v>0</v>
      </c>
      <c r="G14" s="115">
        <v>0</v>
      </c>
      <c r="H14" s="115"/>
      <c r="I14" s="115"/>
    </row>
    <row r="15" s="97" customFormat="true" ht="27" customHeight="true" spans="1:9">
      <c r="A15" s="118" t="s">
        <v>2008</v>
      </c>
      <c r="B15" s="111">
        <v>242996.203562</v>
      </c>
      <c r="C15" s="119">
        <v>0</v>
      </c>
      <c r="D15" s="112"/>
      <c r="E15" s="119">
        <v>63315.312326</v>
      </c>
      <c r="F15" s="119">
        <v>62956.214597</v>
      </c>
      <c r="G15" s="119">
        <v>109543.676639</v>
      </c>
      <c r="H15" s="119">
        <v>7181</v>
      </c>
      <c r="I15" s="119">
        <v>0</v>
      </c>
    </row>
    <row r="16" s="96" customFormat="true" ht="27" customHeight="true" spans="1:9">
      <c r="A16" s="113" t="s">
        <v>2009</v>
      </c>
      <c r="B16" s="114">
        <v>224700.845162</v>
      </c>
      <c r="C16" s="115">
        <v>0</v>
      </c>
      <c r="D16" s="116"/>
      <c r="E16" s="115">
        <v>63292.312326</v>
      </c>
      <c r="F16" s="115">
        <v>61427.214597</v>
      </c>
      <c r="G16" s="115">
        <v>92800.318239</v>
      </c>
      <c r="H16" s="115">
        <v>7181</v>
      </c>
      <c r="I16" s="115">
        <v>0</v>
      </c>
    </row>
    <row r="17" s="96" customFormat="true" ht="27" customHeight="true" spans="1:9">
      <c r="A17" s="113" t="s">
        <v>2010</v>
      </c>
      <c r="B17" s="114">
        <v>37</v>
      </c>
      <c r="C17" s="115">
        <v>0</v>
      </c>
      <c r="D17" s="116"/>
      <c r="E17" s="115">
        <v>20</v>
      </c>
      <c r="F17" s="115">
        <v>17</v>
      </c>
      <c r="G17" s="115">
        <v>0</v>
      </c>
      <c r="H17" s="115"/>
      <c r="I17" s="115">
        <v>0</v>
      </c>
    </row>
    <row r="18" s="96" customFormat="true" ht="27" customHeight="true" spans="1:9">
      <c r="A18" s="117" t="s">
        <v>2011</v>
      </c>
      <c r="B18" s="114">
        <v>25</v>
      </c>
      <c r="C18" s="115">
        <v>0</v>
      </c>
      <c r="D18" s="116"/>
      <c r="E18" s="115">
        <v>3</v>
      </c>
      <c r="F18" s="115">
        <v>22</v>
      </c>
      <c r="G18" s="115">
        <v>0</v>
      </c>
      <c r="H18" s="115">
        <v>0</v>
      </c>
      <c r="I18" s="115">
        <v>0</v>
      </c>
    </row>
    <row r="19" s="96" customFormat="true" ht="27" customHeight="true" spans="1:9">
      <c r="A19" s="117" t="s">
        <v>2012</v>
      </c>
      <c r="B19" s="114">
        <v>0</v>
      </c>
      <c r="C19" s="115">
        <v>0</v>
      </c>
      <c r="D19" s="116"/>
      <c r="E19" s="115">
        <v>0</v>
      </c>
      <c r="F19" s="115">
        <v>0</v>
      </c>
      <c r="G19" s="115">
        <v>0</v>
      </c>
      <c r="H19" s="115"/>
      <c r="I19" s="115"/>
    </row>
    <row r="20" s="96" customFormat="true" ht="27" customHeight="true" spans="1:9">
      <c r="A20" s="117" t="s">
        <v>2013</v>
      </c>
      <c r="B20" s="114">
        <v>0</v>
      </c>
      <c r="C20" s="115">
        <v>0</v>
      </c>
      <c r="D20" s="116"/>
      <c r="E20" s="115">
        <v>0</v>
      </c>
      <c r="F20" s="115">
        <v>0</v>
      </c>
      <c r="G20" s="115">
        <v>0</v>
      </c>
      <c r="H20" s="115"/>
      <c r="I20" s="115"/>
    </row>
    <row r="21" s="97" customFormat="true" ht="27" customHeight="true" spans="1:9">
      <c r="A21" s="110" t="s">
        <v>2014</v>
      </c>
      <c r="B21" s="111">
        <v>39163.215268</v>
      </c>
      <c r="C21" s="119">
        <v>0</v>
      </c>
      <c r="D21" s="112"/>
      <c r="E21" s="119">
        <v>88.938346</v>
      </c>
      <c r="F21" s="119">
        <v>20906.577561</v>
      </c>
      <c r="G21" s="119">
        <v>18167.699361</v>
      </c>
      <c r="H21" s="119">
        <v>0</v>
      </c>
      <c r="I21" s="125">
        <v>0</v>
      </c>
    </row>
    <row r="22" s="97" customFormat="true" ht="27" customHeight="true" spans="1:9">
      <c r="A22" s="118" t="s">
        <v>2015</v>
      </c>
      <c r="B22" s="111">
        <v>369230.633797</v>
      </c>
      <c r="C22" s="119">
        <v>0</v>
      </c>
      <c r="D22" s="112"/>
      <c r="E22" s="119">
        <v>15736.688359</v>
      </c>
      <c r="F22" s="119">
        <v>203943.129181</v>
      </c>
      <c r="G22" s="119">
        <v>149550.816257</v>
      </c>
      <c r="H22" s="119">
        <v>0</v>
      </c>
      <c r="I22" s="125">
        <v>0</v>
      </c>
    </row>
    <row r="23" s="96" customFormat="true" ht="13.5"/>
    <row r="24" s="96" customFormat="true" ht="13.5"/>
    <row r="25" s="96" customFormat="true" ht="13.5"/>
    <row r="26" s="96" customFormat="true" ht="13.5"/>
    <row r="27" s="96" customFormat="true" ht="13.5"/>
    <row r="28" s="96" customFormat="true" ht="13.5"/>
    <row r="29" s="96" customFormat="true" ht="13.5"/>
    <row r="30" s="96" customFormat="true" ht="13.5"/>
    <row r="31" s="96" customFormat="true" ht="13.5"/>
    <row r="32" s="96" customFormat="true" ht="13.5"/>
    <row r="33" s="96" customFormat="true" ht="13.5"/>
    <row r="34" s="96" customFormat="true" ht="13.5"/>
    <row r="35" s="96" customFormat="true" ht="13.5"/>
    <row r="36" s="96" customFormat="true" ht="13.5"/>
    <row r="37" s="96" customFormat="true" ht="13.5"/>
    <row r="38" s="96" customFormat="true" ht="13.5"/>
    <row r="39" s="96" customFormat="true" ht="13.5"/>
    <row r="40" s="96" customFormat="true" ht="13.5"/>
    <row r="41" s="96" customFormat="true" ht="13.5"/>
    <row r="42" s="96" customFormat="true" ht="13.5"/>
    <row r="43" s="96" customFormat="true" ht="13.5"/>
    <row r="44" s="96" customFormat="true" ht="13.5"/>
    <row r="45" s="96" customFormat="true" ht="13.5"/>
    <row r="46" s="96" customFormat="true" ht="13.5"/>
    <row r="47" s="96" customFormat="true" ht="13.5"/>
    <row r="48" s="96" customFormat="true" ht="13.5"/>
    <row r="49" s="96" customFormat="true" ht="13.5"/>
    <row r="50" s="96" customFormat="true" ht="13.5"/>
    <row r="51" s="96" customFormat="true" ht="13.5"/>
    <row r="52" s="96" customFormat="true" ht="13.5"/>
    <row r="53" s="96" customFormat="true" ht="13.5"/>
    <row r="54" s="96" customFormat="true" ht="13.5"/>
    <row r="55" s="96" customFormat="true" ht="13.5"/>
    <row r="56" s="96" customFormat="true" ht="13.5"/>
    <row r="57" s="96" customFormat="true" ht="13.5"/>
    <row r="58" s="96" customFormat="true" ht="13.5"/>
    <row r="59" s="96" customFormat="true" ht="13.5"/>
    <row r="60" s="96" customFormat="true" ht="13.5"/>
    <row r="61" s="96" customFormat="true" ht="13.5"/>
    <row r="62" s="96" customFormat="true" ht="13.5"/>
    <row r="63" s="96" customFormat="true" ht="13.5"/>
    <row r="64" s="96" customFormat="true" ht="13.5"/>
    <row r="65" s="96" customFormat="true" ht="13.5"/>
    <row r="66" s="96" customFormat="true" ht="13.5"/>
    <row r="67" s="96" customFormat="true" ht="13.5"/>
    <row r="68" s="96" customFormat="true" ht="13.5"/>
    <row r="69" s="96" customFormat="true" ht="13.5"/>
    <row r="70" s="96" customFormat="true" ht="13.5"/>
    <row r="71" s="96" customFormat="true" ht="13.5"/>
    <row r="72" s="96" customFormat="true" ht="13.5"/>
    <row r="73" s="96" customFormat="true" ht="13.5"/>
    <row r="74" s="96" customFormat="true" ht="13.5"/>
    <row r="75" s="96" customFormat="true" ht="13.5"/>
    <row r="76" s="96" customFormat="true" ht="13.5"/>
    <row r="77" s="96" customFormat="true" ht="13.5"/>
    <row r="78" s="96" customFormat="true" ht="13.5"/>
    <row r="79" s="96" customFormat="true" ht="13.5"/>
    <row r="80" s="96" customFormat="true" ht="13.5"/>
    <row r="81" s="96" customFormat="true" ht="13.5"/>
    <row r="82" s="96" customFormat="true" ht="13.5"/>
    <row r="83" s="96" customFormat="true" ht="13.5"/>
    <row r="84" s="96" customFormat="true" ht="13.5"/>
    <row r="85" s="96" customFormat="true" ht="13.5"/>
    <row r="86" s="96" customFormat="true" ht="13.5"/>
    <row r="87" s="96" customFormat="true" ht="13.5"/>
    <row r="88" s="96" customFormat="true" ht="13.5"/>
    <row r="89" s="96" customFormat="true" ht="13.5"/>
    <row r="90" s="96" customFormat="true" ht="13.5"/>
    <row r="91" s="96" customFormat="true" ht="13.5"/>
    <row r="92" s="96" customFormat="true" ht="13.5"/>
    <row r="93" s="96" customFormat="true" ht="13.5"/>
    <row r="94" s="96" customFormat="true" ht="13.5"/>
    <row r="95" s="96" customFormat="true" ht="13.5"/>
    <row r="96" s="96" customFormat="true" ht="13.5"/>
    <row r="97" s="96" customFormat="true" ht="13.5"/>
    <row r="98" s="96" customFormat="true" ht="13.5"/>
    <row r="99" s="96" customFormat="true" ht="13.5"/>
    <row r="100" s="96" customFormat="true" ht="13.5"/>
    <row r="101" s="96" customFormat="true" ht="13.5"/>
    <row r="102" s="96" customFormat="true" ht="13.5"/>
    <row r="103" s="96" customFormat="true" ht="13.5"/>
    <row r="104" s="96" customFormat="true" ht="13.5"/>
    <row r="105" s="96" customFormat="true" ht="13.5"/>
    <row r="106" s="96" customFormat="true" ht="13.5"/>
    <row r="107" s="96" customFormat="true" ht="13.5"/>
    <row r="108" s="96" customFormat="true" ht="13.5"/>
    <row r="109" s="96" customFormat="true" ht="13.5"/>
    <row r="110" s="96" customFormat="true" ht="13.5"/>
    <row r="111" s="96" customFormat="true" ht="13.5"/>
    <row r="112" s="96" customFormat="true" ht="13.5"/>
    <row r="113" s="96" customFormat="true" ht="13.5"/>
    <row r="114" s="96" customFormat="true" ht="13.5"/>
    <row r="115" s="96" customFormat="true" ht="13.5"/>
    <row r="116" s="96" customFormat="true" ht="13.5"/>
    <row r="117" s="96" customFormat="true" ht="13.5"/>
    <row r="118" s="96" customFormat="true" ht="13.5"/>
    <row r="119" s="96" customFormat="true" ht="13.5"/>
    <row r="120" s="96" customFormat="true" ht="13.5"/>
    <row r="121" s="96" customFormat="true" ht="13.5"/>
    <row r="122" s="96" customFormat="true" ht="13.5"/>
    <row r="123" s="96" customFormat="true" ht="13.5"/>
    <row r="124" s="96" customFormat="true" ht="13.5"/>
    <row r="125" s="96" customFormat="true" ht="13.5"/>
    <row r="126" s="96" customFormat="true" ht="13.5"/>
    <row r="127" s="96" customFormat="true" ht="13.5"/>
    <row r="128" s="96" customFormat="true" ht="13.5"/>
    <row r="129" s="96" customFormat="true" ht="13.5"/>
    <row r="130" s="96" customFormat="true" ht="13.5"/>
    <row r="131" s="96" customFormat="true" ht="13.5"/>
    <row r="132" s="96" customFormat="true" ht="13.5"/>
    <row r="133" s="96" customFormat="true" ht="13.5"/>
    <row r="134" s="96" customFormat="true" ht="13.5"/>
    <row r="135" s="96" customFormat="true" ht="13.5"/>
    <row r="136" s="96" customFormat="true" ht="13.5"/>
    <row r="137" s="96" customFormat="true" ht="13.5"/>
    <row r="138" s="96" customFormat="true" ht="13.5"/>
    <row r="139" s="96" customFormat="true" ht="13.5"/>
    <row r="140" s="96" customFormat="true" ht="13.5"/>
    <row r="141" s="96" customFormat="true" ht="13.5"/>
    <row r="142" s="96" customFormat="true" ht="13.5"/>
    <row r="143" s="96" customFormat="true" ht="13.5"/>
    <row r="144" s="96" customFormat="true" ht="13.5"/>
    <row r="145" s="96" customFormat="true" ht="13.5"/>
    <row r="146" s="96" customFormat="true" ht="13.5"/>
    <row r="147" s="96" customFormat="true" ht="13.5"/>
    <row r="148" s="96" customFormat="true" ht="13.5"/>
    <row r="149" s="96" customFormat="true" ht="13.5"/>
    <row r="150" s="96" customFormat="true" ht="13.5"/>
    <row r="151" s="96" customFormat="true" ht="13.5"/>
    <row r="152" s="96" customFormat="true" ht="13.5"/>
    <row r="153" s="96" customFormat="true" ht="13.5"/>
    <row r="154" s="96" customFormat="true" ht="13.5"/>
    <row r="155" s="96" customFormat="true" ht="13.5"/>
    <row r="156" s="96" customFormat="true" ht="13.5"/>
    <row r="157" s="96" customFormat="true" ht="13.5"/>
    <row r="158" s="96" customFormat="true" ht="13.5"/>
    <row r="159" s="96" customFormat="true" ht="13.5"/>
    <row r="160" s="96" customFormat="true" ht="13.5"/>
    <row r="161" s="96" customFormat="true" ht="13.5"/>
    <row r="162" s="96" customFormat="true" ht="13.5"/>
    <row r="163" s="96" customFormat="true" ht="13.5"/>
    <row r="164" s="96" customFormat="true" ht="13.5"/>
    <row r="165" s="96" customFormat="true" ht="13.5"/>
    <row r="166" s="96" customFormat="true" ht="13.5"/>
    <row r="167" s="96" customFormat="true" ht="13.5"/>
    <row r="168" s="96" customFormat="true" ht="13.5"/>
    <row r="169" s="96" customFormat="true" ht="13.5"/>
    <row r="170" s="96" customFormat="true" ht="13.5"/>
    <row r="171" s="96" customFormat="true" ht="13.5"/>
    <row r="172" s="96" customFormat="true" ht="13.5"/>
    <row r="173" s="96" customFormat="true" ht="13.5"/>
    <row r="174" s="96" customFormat="true" ht="13.5"/>
    <row r="175" s="96" customFormat="true" ht="13.5"/>
    <row r="176" s="96" customFormat="true" ht="13.5"/>
    <row r="177" s="96" customFormat="true" ht="13.5"/>
    <row r="178" s="96" customFormat="true" ht="13.5"/>
    <row r="179" s="96" customFormat="true" ht="13.5"/>
    <row r="180" s="96" customFormat="true" ht="13.5"/>
    <row r="181" s="96" customFormat="true" ht="13.5"/>
    <row r="182" s="96" customFormat="true" ht="13.5"/>
    <row r="183" s="96" customFormat="true" ht="13.5"/>
    <row r="184" s="96" customFormat="true" ht="13.5"/>
    <row r="185" s="96" customFormat="true" ht="13.5"/>
    <row r="186" s="96" customFormat="true" ht="13.5"/>
    <row r="187" s="96" customFormat="true" ht="13.5"/>
    <row r="188" s="96" customFormat="true" ht="13.5"/>
    <row r="189" s="96" customFormat="true" ht="13.5"/>
    <row r="190" s="96" customFormat="true" ht="13.5"/>
    <row r="191" s="96" customFormat="true" ht="13.5"/>
    <row r="192" s="96" customFormat="true" ht="13.5"/>
    <row r="193" s="96" customFormat="true" ht="13.5"/>
    <row r="194" s="96" customFormat="true" ht="13.5"/>
    <row r="195" s="96" customFormat="true" ht="13.5"/>
    <row r="196" s="96" customFormat="true" ht="13.5"/>
    <row r="197" s="96" customFormat="true" ht="13.5"/>
    <row r="198" s="96" customFormat="true" ht="13.5"/>
    <row r="199" s="96" customFormat="true" ht="13.5"/>
    <row r="200" s="96" customFormat="true" ht="13.5"/>
    <row r="201" s="96" customFormat="true" ht="13.5"/>
    <row r="202" s="96" customFormat="true" ht="13.5"/>
    <row r="203" s="96" customFormat="true" ht="13.5"/>
    <row r="204" s="96" customFormat="true" ht="13.5"/>
    <row r="205" s="96" customFormat="true" ht="13.5"/>
    <row r="206" s="96" customFormat="true" ht="13.5"/>
    <row r="207" s="96" customFormat="true" ht="13.5"/>
    <row r="208" s="96" customFormat="true" ht="13.5"/>
    <row r="209" s="96" customFormat="true" ht="13.5"/>
    <row r="210" s="96" customFormat="true" ht="13.5"/>
    <row r="211" s="96" customFormat="true" ht="13.5"/>
    <row r="212" s="96" customFormat="true" ht="13.5"/>
    <row r="213" s="96" customFormat="true" ht="13.5"/>
    <row r="214" s="96" customFormat="true" ht="13.5"/>
    <row r="215" s="96" customFormat="true" ht="13.5"/>
    <row r="216" s="96" customFormat="true" ht="13.5"/>
    <row r="217" s="96" customFormat="true" ht="13.5"/>
    <row r="218" s="96" customFormat="true" ht="13.5"/>
    <row r="219" s="96" customFormat="true" ht="13.5"/>
    <row r="220" s="96" customFormat="true" ht="13.5"/>
    <row r="221" s="96" customFormat="true" ht="13.5"/>
    <row r="222" s="96" customFormat="true" ht="13.5"/>
    <row r="223" s="96" customFormat="true" ht="13.5"/>
    <row r="224" s="96" customFormat="true" ht="13.5"/>
    <row r="225" s="96" customFormat="true" ht="13.5"/>
    <row r="226" s="96" customFormat="true" ht="13.5"/>
    <row r="227" s="96" customFormat="true" ht="13.5"/>
    <row r="228" s="96" customFormat="true" ht="13.5"/>
    <row r="229" s="96" customFormat="true" ht="13.5"/>
    <row r="230" s="96" customFormat="true" ht="13.5"/>
    <row r="231" s="96" customFormat="true" ht="13.5"/>
    <row r="232" s="96" customFormat="true" ht="13.5"/>
    <row r="233" s="96" customFormat="true" ht="13.5"/>
    <row r="234" s="96" customFormat="true" ht="13.5"/>
    <row r="235" s="96" customFormat="true" ht="13.5"/>
    <row r="236" s="96" customFormat="true" ht="13.5"/>
    <row r="237" s="96" customFormat="true" ht="13.5"/>
    <row r="238" s="96" customFormat="true" ht="13.5"/>
    <row r="239" s="96" customFormat="true" ht="13.5"/>
    <row r="240" s="96" customFormat="true" ht="13.5"/>
    <row r="241" s="96" customFormat="true" ht="13.5"/>
    <row r="242" s="96" customFormat="true" ht="13.5"/>
    <row r="243" s="96" customFormat="true" ht="13.5"/>
    <row r="244" s="96" customFormat="true" ht="13.5"/>
    <row r="245" s="96" customFormat="true" ht="13.5"/>
    <row r="246" s="96" customFormat="true" ht="13.5"/>
    <row r="247" s="96" customFormat="true" ht="13.5"/>
    <row r="248" s="96" customFormat="true" ht="13.5"/>
    <row r="249" s="96" customFormat="true" ht="13.5"/>
    <row r="250" s="96" customFormat="true" ht="13.5"/>
    <row r="251" s="96" customFormat="true" ht="13.5"/>
    <row r="252" s="96" customFormat="true" ht="13.5"/>
    <row r="253" s="96" customFormat="true" ht="13.5"/>
    <row r="254" s="96" customFormat="true" ht="13.5"/>
    <row r="255" s="96" customFormat="true" ht="13.5"/>
    <row r="256" s="96" customFormat="true" ht="13.5"/>
    <row r="257" s="96" customFormat="true" ht="13.5"/>
    <row r="258" s="96" customFormat="true" ht="13.5"/>
    <row r="259" s="96" customFormat="true" ht="13.5"/>
    <row r="260" s="96" customFormat="true" ht="13.5"/>
    <row r="261" s="96" customFormat="true" ht="13.5"/>
    <row r="262" s="96" customFormat="true" ht="13.5"/>
    <row r="263" s="96" customFormat="true" ht="13.5"/>
    <row r="264" s="96" customFormat="true" ht="13.5"/>
    <row r="265" s="96" customFormat="true" ht="13.5"/>
    <row r="266" s="96" customFormat="true" ht="13.5"/>
    <row r="267" s="96" customFormat="true" ht="13.5"/>
    <row r="268" s="96" customFormat="true" ht="13.5"/>
    <row r="269" s="96" customFormat="true" ht="13.5"/>
    <row r="270" s="96" customFormat="true" ht="13.5"/>
    <row r="271" s="96" customFormat="true" ht="13.5"/>
    <row r="272" s="96" customFormat="true" ht="13.5"/>
    <row r="273" s="96" customFormat="true" ht="13.5"/>
    <row r="274" s="96" customFormat="true" ht="13.5"/>
    <row r="275" s="96" customFormat="true" ht="13.5"/>
    <row r="276" s="96" customFormat="true" ht="13.5"/>
    <row r="277" s="96" customFormat="true" ht="13.5"/>
    <row r="278" s="96" customFormat="true" ht="13.5"/>
    <row r="279" s="96" customFormat="true" ht="13.5"/>
    <row r="280" s="96" customFormat="true" ht="13.5"/>
    <row r="281" s="96" customFormat="true" ht="13.5"/>
    <row r="282" s="96" customFormat="true" ht="13.5"/>
    <row r="283" s="96" customFormat="true" ht="13.5"/>
    <row r="284" s="96" customFormat="true" ht="13.5"/>
    <row r="285" s="96" customFormat="true" ht="13.5"/>
    <row r="286" s="96" customFormat="true" ht="13.5"/>
    <row r="287" s="96" customFormat="true" ht="13.5"/>
    <row r="288" s="96" customFormat="true" ht="13.5"/>
    <row r="289" s="96" customFormat="true" ht="13.5"/>
    <row r="290" s="96" customFormat="true" ht="13.5"/>
    <row r="291" s="96" customFormat="true" ht="13.5"/>
    <row r="292" s="96" customFormat="true" ht="13.5"/>
    <row r="293" s="96" customFormat="true" ht="13.5"/>
    <row r="294" s="96" customFormat="true" ht="13.5"/>
    <row r="295" s="96" customFormat="true" ht="13.5"/>
    <row r="296" s="96" customFormat="true" ht="13.5"/>
    <row r="297" s="96" customFormat="true" ht="13.5"/>
    <row r="298" s="96" customFormat="true" ht="13.5"/>
    <row r="299" s="96" customFormat="true" ht="13.5"/>
    <row r="300" s="96" customFormat="true" ht="13.5"/>
    <row r="301" s="96" customFormat="true" ht="13.5"/>
    <row r="302" s="96" customFormat="true" ht="13.5"/>
    <row r="303" s="96" customFormat="true" ht="13.5"/>
    <row r="304" s="96" customFormat="true" ht="13.5"/>
    <row r="305" s="96" customFormat="true" ht="13.5"/>
    <row r="306" s="96" customFormat="true" ht="13.5"/>
    <row r="307" s="96" customFormat="true" ht="13.5"/>
    <row r="308" s="96" customFormat="true" ht="13.5"/>
    <row r="309" s="96" customFormat="true" ht="13.5"/>
    <row r="310" s="96" customFormat="true" ht="13.5"/>
    <row r="311" s="96" customFormat="true" ht="13.5"/>
    <row r="312" s="96" customFormat="true" ht="13.5"/>
    <row r="313" s="96" customFormat="true" ht="13.5"/>
    <row r="314" s="96" customFormat="true" ht="13.5"/>
    <row r="315" s="96" customFormat="true" ht="13.5"/>
    <row r="316" s="96" customFormat="true" ht="13.5"/>
    <row r="317" s="96" customFormat="true" ht="13.5"/>
    <row r="318" s="96" customFormat="true" ht="13.5"/>
    <row r="319" s="96" customFormat="true" ht="13.5"/>
    <row r="320" s="96" customFormat="true" ht="13.5"/>
    <row r="321" s="96" customFormat="true" ht="13.5"/>
    <row r="322" s="96" customFormat="true" ht="13.5"/>
    <row r="323" s="96" customFormat="true" ht="13.5"/>
    <row r="324" s="96" customFormat="true" ht="13.5"/>
    <row r="325" s="96" customFormat="true" ht="13.5"/>
    <row r="326" s="96" customFormat="true" ht="13.5"/>
    <row r="327" s="96" customFormat="true" ht="13.5"/>
    <row r="328" s="96" customFormat="true" ht="13.5"/>
    <row r="329" s="96" customFormat="true" ht="13.5"/>
    <row r="330" s="96" customFormat="true" ht="13.5"/>
    <row r="331" s="96" customFormat="true" ht="13.5"/>
    <row r="332" s="96" customFormat="true" ht="13.5"/>
    <row r="333" s="96" customFormat="true" ht="13.5"/>
    <row r="334" s="96" customFormat="true" ht="13.5"/>
    <row r="335" s="96" customFormat="true" ht="13.5"/>
    <row r="336" s="96" customFormat="true" ht="13.5"/>
    <row r="337" s="96" customFormat="true" ht="13.5"/>
    <row r="338" s="96" customFormat="true" ht="13.5"/>
    <row r="339" s="96" customFormat="true" ht="13.5"/>
    <row r="340" s="96" customFormat="true" ht="13.5"/>
    <row r="341" s="96" customFormat="true" ht="13.5"/>
    <row r="342" s="96" customFormat="true" ht="13.5"/>
    <row r="343" s="96" customFormat="true" ht="13.5"/>
    <row r="344" s="96" customFormat="true" ht="13.5"/>
    <row r="345" s="96" customFormat="true" ht="13.5"/>
    <row r="346" s="96" customFormat="true" ht="13.5"/>
    <row r="347" s="96" customFormat="true" ht="13.5"/>
    <row r="348" s="96" customFormat="true" ht="13.5"/>
    <row r="349" s="96" customFormat="true" ht="13.5"/>
    <row r="350" s="96" customFormat="true" ht="13.5"/>
    <row r="351" s="96" customFormat="true" ht="13.5"/>
    <row r="352" s="96" customFormat="true" ht="13.5"/>
    <row r="353" s="96" customFormat="true" ht="13.5"/>
    <row r="354" s="96" customFormat="true" ht="13.5"/>
    <row r="355" s="96" customFormat="true" ht="13.5"/>
    <row r="356" s="96" customFormat="true" ht="13.5"/>
    <row r="357" s="96" customFormat="true" ht="13.5"/>
    <row r="358" s="96" customFormat="true" ht="13.5"/>
    <row r="359" s="96" customFormat="true" ht="13.5"/>
    <row r="360" s="96" customFormat="true" ht="13.5"/>
    <row r="361" s="96" customFormat="true" ht="13.5"/>
    <row r="362" s="96" customFormat="true" ht="13.5"/>
    <row r="363" s="96" customFormat="true" ht="13.5"/>
    <row r="364" s="96" customFormat="true" ht="13.5"/>
    <row r="365" s="96" customFormat="true" ht="13.5"/>
    <row r="366" s="96" customFormat="true" ht="13.5"/>
    <row r="367" s="96" customFormat="true" ht="13.5"/>
    <row r="368" s="96" customFormat="true" ht="13.5"/>
    <row r="369" s="96" customFormat="true" ht="13.5"/>
    <row r="370" s="96" customFormat="true" ht="13.5"/>
    <row r="371" s="96" customFormat="true" ht="13.5"/>
    <row r="372" s="96" customFormat="true" ht="13.5"/>
    <row r="373" s="96" customFormat="true" ht="13.5"/>
    <row r="374" s="96" customFormat="true" ht="13.5"/>
    <row r="375" s="96" customFormat="true" ht="13.5"/>
    <row r="376" s="96" customFormat="true" ht="13.5"/>
    <row r="377" s="96" customFormat="true" ht="13.5"/>
    <row r="378" s="96" customFormat="true" ht="13.5"/>
    <row r="379" s="96" customFormat="true" ht="13.5"/>
    <row r="380" s="96" customFormat="true" ht="13.5"/>
    <row r="381" s="96" customFormat="true" ht="13.5"/>
    <row r="382" s="96" customFormat="true" ht="13.5"/>
    <row r="383" s="96" customFormat="true" ht="13.5"/>
    <row r="384" s="96" customFormat="true" ht="13.5"/>
    <row r="385" s="96" customFormat="true" ht="13.5"/>
    <row r="386" s="96" customFormat="true" ht="13.5"/>
    <row r="387" s="96" customFormat="true" ht="13.5"/>
    <row r="388" s="96" customFormat="true" ht="13.5"/>
    <row r="389" s="96" customFormat="true" ht="13.5"/>
    <row r="390" s="96" customFormat="true" ht="13.5"/>
    <row r="391" s="96" customFormat="true" ht="13.5"/>
    <row r="392" s="96" customFormat="true" ht="13.5"/>
    <row r="393" s="96" customFormat="true" ht="13.5"/>
    <row r="394" s="96" customFormat="true" ht="13.5"/>
    <row r="395" s="96" customFormat="true" ht="13.5"/>
    <row r="396" s="96" customFormat="true" ht="13.5"/>
    <row r="397" s="96" customFormat="true" ht="13.5"/>
    <row r="398" s="96" customFormat="true" ht="13.5"/>
    <row r="399" s="96" customFormat="true" ht="13.5"/>
    <row r="400" s="96" customFormat="true" ht="13.5"/>
    <row r="401" s="96" customFormat="true" ht="13.5"/>
    <row r="402" s="96" customFormat="true" ht="13.5"/>
    <row r="403" s="96" customFormat="true" ht="13.5"/>
    <row r="404" s="96" customFormat="true" ht="13.5"/>
    <row r="405" s="96" customFormat="true" ht="13.5"/>
    <row r="406" s="96" customFormat="true" ht="13.5"/>
    <row r="407" s="96" customFormat="true" ht="13.5"/>
    <row r="408" s="96" customFormat="true" ht="13.5"/>
    <row r="409" s="96" customFormat="true" ht="13.5"/>
    <row r="410" s="96" customFormat="true" ht="13.5"/>
    <row r="411" s="96" customFormat="true" ht="13.5"/>
    <row r="412" s="96" customFormat="true" ht="13.5"/>
    <row r="413" s="96" customFormat="true" ht="13.5"/>
    <row r="414" s="96" customFormat="true" ht="13.5"/>
    <row r="415" s="96" customFormat="true" ht="13.5"/>
    <row r="416" s="96" customFormat="true" ht="13.5"/>
    <row r="417" s="96" customFormat="true" ht="13.5"/>
    <row r="418" s="96" customFormat="true" ht="13.5"/>
    <row r="419" s="96" customFormat="true" ht="13.5"/>
    <row r="420" s="96" customFormat="true" ht="13.5"/>
    <row r="421" s="96" customFormat="true" ht="13.5"/>
    <row r="422" s="96" customFormat="true" ht="13.5"/>
    <row r="423" s="96" customFormat="true" ht="13.5"/>
    <row r="424" s="96" customFormat="true" ht="13.5"/>
    <row r="425" s="96" customFormat="true" ht="13.5"/>
    <row r="426" s="96" customFormat="true" ht="13.5"/>
    <row r="427" s="96" customFormat="true" ht="13.5"/>
    <row r="428" s="96" customFormat="true" ht="13.5"/>
    <row r="429" s="96" customFormat="true" ht="13.5"/>
    <row r="430" s="96" customFormat="true" ht="13.5"/>
    <row r="431" s="96" customFormat="true" ht="13.5"/>
    <row r="432" s="96" customFormat="true" ht="13.5"/>
    <row r="433" s="96" customFormat="true" ht="13.5"/>
    <row r="434" s="96" customFormat="true" ht="13.5"/>
    <row r="435" s="96" customFormat="true" ht="13.5"/>
    <row r="436" s="96" customFormat="true" ht="13.5"/>
    <row r="437" s="96" customFormat="true" ht="13.5"/>
    <row r="438" s="96" customFormat="true" ht="13.5"/>
    <row r="439" s="96" customFormat="true" ht="13.5"/>
    <row r="440" s="96" customFormat="true" ht="13.5"/>
    <row r="441" s="96" customFormat="true" ht="13.5"/>
    <row r="442" s="96" customFormat="true" ht="13.5"/>
    <row r="443" s="96" customFormat="true" ht="13.5"/>
    <row r="444" s="96" customFormat="true" ht="13.5"/>
    <row r="445" s="96" customFormat="true" ht="13.5"/>
    <row r="446" s="96" customFormat="true" ht="13.5"/>
    <row r="447" s="96" customFormat="true" ht="13.5"/>
    <row r="448" s="96" customFormat="true" ht="13.5"/>
    <row r="449" s="96" customFormat="true" ht="13.5"/>
    <row r="450" s="96" customFormat="true" ht="13.5"/>
    <row r="451" s="96" customFormat="true" ht="13.5"/>
    <row r="452" s="96" customFormat="true" ht="13.5"/>
    <row r="453" s="96" customFormat="true" ht="13.5"/>
    <row r="454" s="96" customFormat="true" ht="13.5"/>
    <row r="455" s="96" customFormat="true" ht="13.5"/>
    <row r="456" s="96" customFormat="true" ht="13.5"/>
    <row r="457" s="96" customFormat="true" ht="13.5"/>
    <row r="458" s="96" customFormat="true" ht="13.5"/>
    <row r="459" s="96" customFormat="true" ht="13.5"/>
    <row r="460" s="96" customFormat="true" ht="13.5"/>
    <row r="461" s="96" customFormat="true" ht="13.5"/>
    <row r="462" s="96" customFormat="true" ht="13.5"/>
    <row r="463" s="96" customFormat="true" ht="13.5"/>
    <row r="464" s="96" customFormat="true" ht="13.5"/>
    <row r="465" s="96" customFormat="true" ht="13.5"/>
    <row r="466" s="96" customFormat="true" ht="13.5"/>
    <row r="467" s="96" customFormat="true" ht="13.5"/>
    <row r="468" s="96" customFormat="true" ht="13.5"/>
    <row r="469" s="96" customFormat="true" ht="13.5"/>
    <row r="470" s="96" customFormat="true" ht="13.5"/>
    <row r="471" s="96" customFormat="true" ht="13.5"/>
    <row r="472" s="96" customFormat="true" ht="13.5"/>
    <row r="473" s="96" customFormat="true" ht="13.5"/>
    <row r="474" s="96" customFormat="true" ht="13.5"/>
    <row r="475" s="96" customFormat="true" ht="13.5"/>
    <row r="476" s="96" customFormat="true" ht="13.5"/>
    <row r="477" s="96" customFormat="true" ht="13.5"/>
    <row r="478" s="96" customFormat="true" ht="13.5"/>
    <row r="479" s="96" customFormat="true" ht="13.5"/>
    <row r="480" s="96" customFormat="true" ht="13.5"/>
    <row r="481" s="96" customFormat="true" ht="13.5"/>
    <row r="482" s="96" customFormat="true" ht="13.5"/>
    <row r="483" s="96" customFormat="true" ht="13.5"/>
    <row r="484" s="96" customFormat="true" ht="13.5"/>
    <row r="485" s="96" customFormat="true" ht="13.5"/>
    <row r="486" s="96" customFormat="true" ht="13.5"/>
    <row r="487" s="96" customFormat="true" ht="13.5"/>
    <row r="488" s="96" customFormat="true" ht="13.5"/>
    <row r="489" s="96" customFormat="true" ht="13.5"/>
    <row r="490" s="96" customFormat="true" ht="13.5"/>
    <row r="491" s="96" customFormat="true" ht="13.5"/>
    <row r="492" s="96" customFormat="true" ht="13.5"/>
    <row r="493" s="96" customFormat="true" ht="13.5"/>
    <row r="494" s="96" customFormat="true" ht="13.5"/>
    <row r="495" s="96" customFormat="true" ht="13.5"/>
    <row r="496" s="96" customFormat="true" ht="13.5"/>
    <row r="497" s="96" customFormat="true" ht="13.5"/>
    <row r="498" s="96" customFormat="true" ht="13.5"/>
    <row r="499" s="96" customFormat="true" ht="13.5"/>
    <row r="500" s="96" customFormat="true" ht="13.5"/>
    <row r="501" s="96" customFormat="true" ht="13.5"/>
    <row r="502" s="96" customFormat="true" ht="13.5"/>
    <row r="503" s="96" customFormat="true" ht="13.5"/>
    <row r="504" s="96" customFormat="true" ht="13.5"/>
    <row r="505" s="96" customFormat="true" ht="13.5"/>
    <row r="506" s="96" customFormat="true" ht="13.5"/>
    <row r="507" s="96" customFormat="true" ht="13.5"/>
    <row r="508" s="96" customFormat="true" ht="13.5"/>
    <row r="509" s="96" customFormat="true" ht="13.5"/>
    <row r="510" s="96" customFormat="true" ht="13.5"/>
    <row r="511" s="96" customFormat="true" ht="13.5"/>
    <row r="512" s="96" customFormat="true" ht="13.5"/>
    <row r="513" s="96" customFormat="true" ht="13.5"/>
    <row r="514" s="96" customFormat="true" ht="13.5"/>
    <row r="515" s="96" customFormat="true" ht="13.5"/>
    <row r="516" s="96" customFormat="true" ht="13.5"/>
    <row r="517" s="96" customFormat="true" ht="13.5"/>
    <row r="518" s="96" customFormat="true" ht="13.5"/>
    <row r="519" s="96" customFormat="true" ht="13.5"/>
    <row r="520" s="96" customFormat="true" ht="13.5"/>
    <row r="521" s="96" customFormat="true" ht="13.5"/>
    <row r="522" s="96" customFormat="true" ht="13.5"/>
    <row r="523" s="96" customFormat="true" ht="13.5"/>
    <row r="524" s="96" customFormat="true" ht="13.5"/>
    <row r="525" s="96" customFormat="true" ht="13.5"/>
    <row r="526" s="96" customFormat="true" ht="13.5"/>
    <row r="527" s="96" customFormat="true" ht="13.5"/>
    <row r="528" s="96" customFormat="true" ht="13.5"/>
    <row r="529" s="96" customFormat="true" ht="13.5"/>
    <row r="530" s="96" customFormat="true" ht="13.5"/>
    <row r="531" s="96" customFormat="true" ht="13.5"/>
    <row r="532" s="96" customFormat="true" ht="13.5"/>
    <row r="533" s="96" customFormat="true" ht="13.5"/>
    <row r="534" s="96" customFormat="true" ht="13.5"/>
    <row r="535" s="96" customFormat="true" ht="13.5"/>
    <row r="536" s="96" customFormat="true" ht="13.5"/>
    <row r="537" s="96" customFormat="true" ht="13.5"/>
    <row r="538" s="96" customFormat="true" ht="13.5"/>
    <row r="539" s="96" customFormat="true" ht="13.5"/>
    <row r="540" s="96" customFormat="true" ht="13.5"/>
    <row r="541" s="96" customFormat="true" ht="13.5"/>
    <row r="542" s="96" customFormat="true" ht="13.5"/>
    <row r="543" s="96" customFormat="true" ht="13.5"/>
    <row r="544" s="96" customFormat="true" ht="13.5"/>
    <row r="545" s="96" customFormat="true" ht="13.5"/>
    <row r="546" s="96" customFormat="true" ht="13.5"/>
    <row r="547" s="96" customFormat="true" ht="13.5"/>
    <row r="548" s="96" customFormat="true" ht="13.5"/>
    <row r="549" s="96" customFormat="true" ht="13.5"/>
    <row r="550" s="96" customFormat="true" ht="13.5"/>
    <row r="551" s="96" customFormat="true" ht="13.5"/>
    <row r="552" s="96" customFormat="true" ht="13.5"/>
    <row r="553" s="96" customFormat="true" ht="13.5"/>
    <row r="554" s="96" customFormat="true" ht="13.5"/>
    <row r="555" s="96" customFormat="true" ht="13.5"/>
    <row r="556" s="96" customFormat="true" ht="13.5"/>
    <row r="557" s="96" customFormat="true" ht="13.5"/>
    <row r="558" s="96" customFormat="true" ht="13.5"/>
    <row r="559" s="96" customFormat="true" ht="13.5"/>
    <row r="560" s="96" customFormat="true" ht="13.5"/>
    <row r="561" s="96" customFormat="true" ht="13.5"/>
    <row r="562" s="96" customFormat="true" ht="13.5"/>
    <row r="563" s="96" customFormat="true" ht="13.5"/>
    <row r="564" s="96" customFormat="true" ht="13.5"/>
    <row r="565" s="96" customFormat="true" ht="13.5"/>
    <row r="566" s="96" customFormat="true" ht="13.5"/>
    <row r="567" s="96" customFormat="true" ht="13.5"/>
    <row r="568" s="96" customFormat="true" ht="13.5"/>
    <row r="569" s="96" customFormat="true" ht="13.5"/>
    <row r="570" s="96" customFormat="true" ht="13.5"/>
    <row r="571" s="96" customFormat="true" ht="13.5"/>
    <row r="572" s="96" customFormat="true" ht="13.5"/>
    <row r="573" s="96" customFormat="true" ht="13.5"/>
    <row r="574" s="96" customFormat="true" ht="13.5"/>
    <row r="575" s="96" customFormat="true" ht="13.5"/>
    <row r="576" s="96" customFormat="true" ht="13.5"/>
    <row r="577" s="96" customFormat="true" ht="13.5"/>
    <row r="578" s="96" customFormat="true" ht="13.5"/>
    <row r="579" s="96" customFormat="true" ht="13.5"/>
    <row r="580" s="96" customFormat="true" ht="13.5"/>
    <row r="581" s="96" customFormat="true" ht="13.5"/>
    <row r="582" s="96" customFormat="true" ht="13.5"/>
    <row r="583" s="96" customFormat="true" ht="13.5"/>
    <row r="584" s="96" customFormat="true" ht="13.5"/>
    <row r="585" s="96" customFormat="true" ht="13.5"/>
    <row r="586" s="96" customFormat="true" ht="13.5"/>
    <row r="587" s="96" customFormat="true" ht="13.5"/>
    <row r="588" s="96" customFormat="true" ht="13.5"/>
    <row r="589" s="96" customFormat="true" ht="13.5"/>
    <row r="590" s="96" customFormat="true" ht="13.5"/>
    <row r="591" s="96" customFormat="true" ht="13.5"/>
    <row r="592" s="96" customFormat="true" ht="13.5"/>
    <row r="593" s="96" customFormat="true" ht="13.5"/>
    <row r="594" s="96" customFormat="true" ht="13.5"/>
    <row r="595" s="96" customFormat="true" ht="13.5"/>
    <row r="596" s="96" customFormat="true" ht="13.5"/>
    <row r="597" s="96" customFormat="true" ht="13.5"/>
    <row r="598" s="96" customFormat="true" ht="13.5"/>
    <row r="599" s="96" customFormat="true" ht="13.5"/>
    <row r="600" s="96" customFormat="true" ht="13.5"/>
    <row r="601" s="96" customFormat="true" ht="13.5"/>
    <row r="602" s="96" customFormat="true" ht="13.5"/>
    <row r="603" s="96" customFormat="true" ht="13.5"/>
    <row r="604" s="96" customFormat="true" ht="13.5"/>
    <row r="605" s="96" customFormat="true" ht="13.5"/>
    <row r="606" s="96" customFormat="true" ht="13.5"/>
    <row r="607" s="96" customFormat="true" ht="13.5"/>
    <row r="608" s="96" customFormat="true" ht="13.5"/>
    <row r="609" s="96" customFormat="true" ht="13.5"/>
    <row r="610" s="96" customFormat="true" ht="13.5"/>
    <row r="611" s="96" customFormat="true" ht="13.5"/>
    <row r="612" s="96" customFormat="true" ht="13.5"/>
    <row r="613" s="96" customFormat="true" ht="13.5"/>
    <row r="614" s="96" customFormat="true" ht="13.5"/>
    <row r="615" s="96" customFormat="true" ht="13.5"/>
    <row r="616" s="96" customFormat="true" ht="13.5"/>
    <row r="617" s="96" customFormat="true" ht="13.5"/>
    <row r="618" s="96" customFormat="true" ht="13.5"/>
    <row r="619" s="96" customFormat="true" ht="13.5"/>
    <row r="620" s="96" customFormat="true" ht="13.5"/>
    <row r="621" s="96" customFormat="true" ht="13.5"/>
    <row r="622" s="96" customFormat="true" ht="13.5"/>
    <row r="623" s="96" customFormat="true" ht="13.5"/>
    <row r="624" s="96" customFormat="true" ht="13.5"/>
    <row r="625" s="96" customFormat="true" ht="13.5"/>
    <row r="626" s="96" customFormat="true" ht="13.5"/>
    <row r="627" s="96" customFormat="true" ht="13.5"/>
    <row r="628" s="96" customFormat="true" ht="13.5"/>
    <row r="629" s="96" customFormat="true" ht="13.5"/>
    <row r="630" s="96" customFormat="true" ht="13.5"/>
    <row r="631" s="96" customFormat="true" ht="13.5"/>
    <row r="632" s="96" customFormat="true" ht="13.5"/>
    <row r="633" s="96" customFormat="true" ht="13.5"/>
    <row r="634" s="96" customFormat="true" ht="13.5"/>
    <row r="635" s="96" customFormat="true" ht="13.5"/>
    <row r="636" s="96" customFormat="true" ht="13.5"/>
    <row r="637" s="96" customFormat="true" ht="13.5"/>
    <row r="638" s="96" customFormat="true" ht="13.5"/>
    <row r="639" s="96" customFormat="true" ht="13.5"/>
    <row r="640" s="96" customFormat="true" ht="13.5"/>
    <row r="641" s="96" customFormat="true" ht="13.5"/>
    <row r="642" s="96" customFormat="true" ht="13.5"/>
    <row r="643" s="96" customFormat="true" ht="13.5"/>
    <row r="644" s="96" customFormat="true" ht="13.5"/>
    <row r="645" s="96" customFormat="true" ht="13.5"/>
    <row r="646" s="96" customFormat="true" ht="13.5"/>
    <row r="647" s="96" customFormat="true" ht="13.5"/>
    <row r="648" s="96" customFormat="true" ht="13.5"/>
    <row r="649" s="96" customFormat="true" ht="13.5"/>
    <row r="650" s="96" customFormat="true" ht="13.5"/>
    <row r="651" s="96" customFormat="true" ht="13.5"/>
    <row r="652" s="96" customFormat="true" ht="13.5"/>
    <row r="653" s="96" customFormat="true" ht="13.5"/>
    <row r="654" s="96" customFormat="true" ht="13.5"/>
    <row r="655" s="96" customFormat="true" ht="13.5"/>
    <row r="656" s="96" customFormat="true" ht="13.5"/>
    <row r="657" s="96" customFormat="true" ht="13.5"/>
    <row r="658" s="96" customFormat="true" ht="13.5"/>
    <row r="659" s="96" customFormat="true" ht="13.5"/>
    <row r="660" s="96" customFormat="true" ht="13.5"/>
    <row r="661" s="96" customFormat="true" ht="13.5"/>
    <row r="662" s="96" customFormat="true" ht="13.5"/>
    <row r="663" s="96" customFormat="true" ht="13.5"/>
    <row r="664" s="96" customFormat="true" ht="13.5"/>
    <row r="665" s="96" customFormat="true" ht="13.5"/>
    <row r="666" s="96" customFormat="true" ht="13.5"/>
    <row r="667" s="96" customFormat="true" ht="13.5"/>
    <row r="668" s="96" customFormat="true" ht="13.5"/>
    <row r="669" s="96" customFormat="true" ht="13.5"/>
    <row r="670" s="96" customFormat="true" ht="13.5"/>
    <row r="671" s="96" customFormat="true" ht="13.5"/>
    <row r="672" s="96" customFormat="true" ht="13.5"/>
    <row r="673" s="96" customFormat="true" ht="13.5"/>
    <row r="674" s="96" customFormat="true" ht="13.5"/>
    <row r="675" s="96" customFormat="true" ht="13.5"/>
    <row r="676" s="96" customFormat="true" ht="13.5"/>
    <row r="677" s="96" customFormat="true" ht="13.5"/>
    <row r="678" s="96" customFormat="true" ht="13.5"/>
    <row r="679" s="96" customFormat="true" ht="13.5"/>
    <row r="680" s="96" customFormat="true" ht="13.5"/>
    <row r="681" s="96" customFormat="true" ht="13.5"/>
    <row r="682" s="96" customFormat="true" ht="13.5"/>
    <row r="683" s="96" customFormat="true" ht="13.5"/>
    <row r="684" s="96" customFormat="true" ht="13.5"/>
    <row r="685" s="96" customFormat="true" ht="13.5"/>
    <row r="686" s="96" customFormat="true" ht="13.5"/>
    <row r="687" s="96" customFormat="true" ht="13.5"/>
    <row r="688" s="96" customFormat="true" ht="13.5"/>
    <row r="689" s="96" customFormat="true" ht="13.5"/>
    <row r="690" s="96" customFormat="true" ht="13.5"/>
    <row r="691" s="96" customFormat="true" ht="13.5"/>
    <row r="692" s="96" customFormat="true" ht="13.5"/>
    <row r="693" s="96" customFormat="true" ht="13.5"/>
    <row r="694" s="96" customFormat="true" ht="13.5"/>
    <row r="695" s="96" customFormat="true" ht="13.5"/>
    <row r="696" s="96" customFormat="true" ht="13.5"/>
    <row r="697" s="96" customFormat="true" ht="13.5"/>
    <row r="698" s="96" customFormat="true" ht="13.5"/>
    <row r="699" s="96" customFormat="true" ht="13.5"/>
    <row r="700" s="96" customFormat="true" ht="13.5"/>
    <row r="701" s="96" customFormat="true" ht="13.5"/>
    <row r="702" s="96" customFormat="true" ht="13.5"/>
    <row r="703" s="96" customFormat="true" ht="13.5"/>
    <row r="704" s="96" customFormat="true" ht="13.5"/>
    <row r="705" s="96" customFormat="true" ht="13.5"/>
    <row r="706" s="96" customFormat="true" ht="13.5"/>
    <row r="707" s="96" customFormat="true" ht="13.5"/>
    <row r="708" s="96" customFormat="true" ht="13.5"/>
    <row r="709" s="96" customFormat="true" ht="13.5"/>
    <row r="710" s="96" customFormat="true" ht="13.5"/>
    <row r="711" s="96" customFormat="true" ht="13.5"/>
    <row r="712" s="96" customFormat="true" ht="13.5"/>
    <row r="713" s="96" customFormat="true" ht="13.5"/>
    <row r="714" s="96" customFormat="true" ht="13.5"/>
    <row r="715" s="96" customFormat="true" ht="13.5"/>
    <row r="716" s="96" customFormat="true" ht="13.5"/>
    <row r="717" s="96" customFormat="true" ht="13.5"/>
    <row r="718" s="96" customFormat="true" ht="13.5"/>
    <row r="719" s="96" customFormat="true" ht="13.5"/>
    <row r="720" s="96" customFormat="true" ht="13.5"/>
    <row r="721" s="96" customFormat="true" ht="13.5"/>
    <row r="722" s="96" customFormat="true" ht="13.5"/>
    <row r="723" s="96" customFormat="true" ht="13.5"/>
    <row r="724" s="96" customFormat="true" ht="13.5"/>
    <row r="725" s="96" customFormat="true" ht="13.5"/>
    <row r="726" s="96" customFormat="true" ht="13.5"/>
    <row r="727" s="96" customFormat="true" ht="13.5"/>
    <row r="728" s="96" customFormat="true" ht="13.5"/>
    <row r="729" s="96" customFormat="true" ht="13.5"/>
    <row r="730" s="96" customFormat="true" ht="13.5"/>
    <row r="731" s="96" customFormat="true" ht="13.5"/>
    <row r="732" s="96" customFormat="true" ht="13.5"/>
    <row r="733" s="96" customFormat="true" ht="13.5"/>
    <row r="734" s="96" customFormat="true" ht="13.5"/>
    <row r="735" s="96" customFormat="true" ht="13.5"/>
    <row r="736" s="96" customFormat="true" ht="13.5"/>
    <row r="737" s="96" customFormat="true" ht="13.5"/>
    <row r="738" s="96" customFormat="true" ht="13.5"/>
    <row r="739" s="96" customFormat="true" ht="13.5"/>
    <row r="740" s="96" customFormat="true" ht="13.5"/>
    <row r="741" s="96" customFormat="true" ht="13.5"/>
    <row r="742" s="96" customFormat="true" ht="13.5"/>
    <row r="743" s="96" customFormat="true" ht="13.5"/>
    <row r="744" s="96" customFormat="true" ht="13.5"/>
    <row r="745" s="96" customFormat="true" ht="13.5"/>
    <row r="746" s="96" customFormat="true" ht="13.5"/>
    <row r="747" s="96" customFormat="true" ht="13.5"/>
    <row r="748" s="96" customFormat="true" ht="13.5"/>
    <row r="749" s="96" customFormat="true" ht="13.5"/>
    <row r="750" s="96" customFormat="true" ht="13.5"/>
    <row r="751" s="96" customFormat="true" ht="13.5"/>
    <row r="752" s="96" customFormat="true" ht="13.5"/>
    <row r="753" s="96" customFormat="true" ht="13.5"/>
    <row r="754" s="96" customFormat="true" ht="13.5"/>
    <row r="755" s="96" customFormat="true" ht="13.5"/>
    <row r="756" s="96" customFormat="true" ht="13.5"/>
    <row r="757" s="96" customFormat="true" ht="13.5"/>
    <row r="758" s="96" customFormat="true" ht="13.5"/>
    <row r="759" s="96" customFormat="true" ht="13.5"/>
    <row r="760" s="96" customFormat="true" ht="13.5"/>
    <row r="761" s="96" customFormat="true" ht="13.5"/>
    <row r="762" s="96" customFormat="true" ht="13.5"/>
    <row r="763" s="96" customFormat="true" ht="13.5"/>
    <row r="764" s="96" customFormat="true" ht="13.5"/>
    <row r="765" s="96" customFormat="true" ht="13.5"/>
    <row r="766" s="96" customFormat="true" ht="13.5"/>
    <row r="767" s="96" customFormat="true" ht="13.5"/>
    <row r="768" s="96" customFormat="true" ht="13.5"/>
    <row r="769" s="96" customFormat="true" ht="13.5"/>
    <row r="770" s="96" customFormat="true" ht="13.5"/>
    <row r="771" s="96" customFormat="true" ht="13.5"/>
    <row r="772" s="96" customFormat="true" ht="13.5"/>
    <row r="773" s="96" customFormat="true" ht="13.5"/>
    <row r="774" s="96" customFormat="true" ht="13.5"/>
    <row r="775" s="96" customFormat="true" ht="13.5"/>
    <row r="776" s="96" customFormat="true" ht="13.5"/>
    <row r="777" s="96" customFormat="true" ht="13.5"/>
    <row r="778" s="96" customFormat="true" ht="13.5"/>
    <row r="779" s="96" customFormat="true" ht="13.5"/>
    <row r="780" s="96" customFormat="true" ht="13.5"/>
    <row r="781" s="96" customFormat="true" ht="13.5"/>
    <row r="782" s="96" customFormat="true" ht="13.5"/>
    <row r="783" s="96" customFormat="true" ht="13.5"/>
    <row r="784" s="96" customFormat="true" ht="13.5"/>
    <row r="785" s="96" customFormat="true" ht="13.5"/>
    <row r="786" s="96" customFormat="true" ht="13.5"/>
    <row r="787" s="96" customFormat="true" ht="13.5"/>
    <row r="788" s="96" customFormat="true" ht="13.5"/>
    <row r="789" s="96" customFormat="true" ht="13.5"/>
    <row r="790" s="96" customFormat="true" ht="13.5"/>
    <row r="791" s="96" customFormat="true" ht="13.5"/>
    <row r="792" s="96" customFormat="true" ht="13.5"/>
    <row r="793" s="96" customFormat="true" ht="13.5"/>
    <row r="794" s="96" customFormat="true" ht="13.5"/>
    <row r="795" s="96" customFormat="true" ht="13.5"/>
    <row r="796" s="96" customFormat="true" ht="13.5"/>
    <row r="797" s="96" customFormat="true" ht="13.5"/>
    <row r="798" s="96" customFormat="true" ht="13.5"/>
    <row r="799" s="96" customFormat="true" ht="13.5"/>
    <row r="800" s="96" customFormat="true" ht="13.5"/>
    <row r="801" s="96" customFormat="true" ht="13.5"/>
    <row r="802" s="96" customFormat="true" ht="13.5"/>
    <row r="803" s="96" customFormat="true" ht="13.5"/>
    <row r="804" s="96" customFormat="true" ht="13.5"/>
    <row r="805" s="96" customFormat="true" ht="13.5"/>
    <row r="806" s="96" customFormat="true" ht="13.5"/>
    <row r="807" s="96" customFormat="true" ht="13.5"/>
    <row r="808" s="96" customFormat="true" ht="13.5"/>
    <row r="809" s="96" customFormat="true" ht="13.5"/>
    <row r="810" s="96" customFormat="true" ht="13.5"/>
    <row r="811" s="96" customFormat="true" ht="13.5"/>
    <row r="812" s="96" customFormat="true" ht="13.5"/>
    <row r="813" s="96" customFormat="true" ht="13.5"/>
    <row r="814" s="96" customFormat="true" ht="13.5"/>
    <row r="815" s="96" customFormat="true" ht="13.5"/>
    <row r="816" s="96" customFormat="true" ht="13.5"/>
    <row r="817" s="96" customFormat="true" ht="13.5"/>
    <row r="818" s="96" customFormat="true" ht="13.5"/>
    <row r="819" s="96" customFormat="true" ht="13.5"/>
    <row r="820" s="96" customFormat="true" ht="13.5"/>
    <row r="821" s="96" customFormat="true" ht="13.5"/>
    <row r="822" s="96" customFormat="true" ht="13.5"/>
    <row r="823" s="96" customFormat="true" ht="13.5"/>
    <row r="824" s="96" customFormat="true" ht="13.5"/>
    <row r="825" s="96" customFormat="true" ht="13.5"/>
    <row r="826" s="96" customFormat="true" ht="13.5"/>
    <row r="827" s="96" customFormat="true" ht="13.5"/>
    <row r="828" s="96" customFormat="true" ht="13.5"/>
    <row r="829" s="96" customFormat="true" ht="13.5"/>
    <row r="830" s="96" customFormat="true" ht="13.5"/>
    <row r="831" s="96" customFormat="true" ht="13.5"/>
    <row r="832" s="96" customFormat="true" ht="13.5"/>
    <row r="833" s="96" customFormat="true" ht="13.5"/>
    <row r="834" s="96" customFormat="true" ht="13.5"/>
    <row r="835" s="96" customFormat="true" ht="13.5"/>
    <row r="836" s="96" customFormat="true" ht="13.5"/>
    <row r="837" s="96" customFormat="true" ht="13.5"/>
    <row r="838" s="96" customFormat="true" ht="13.5"/>
    <row r="839" s="96" customFormat="true" ht="13.5"/>
    <row r="840" s="96" customFormat="true" ht="13.5"/>
    <row r="841" s="96" customFormat="true" ht="13.5"/>
    <row r="842" s="96" customFormat="true" ht="13.5"/>
    <row r="843" s="96" customFormat="true" ht="13.5"/>
    <row r="844" s="96" customFormat="true" ht="13.5"/>
    <row r="845" s="96" customFormat="true" ht="13.5"/>
    <row r="846" s="96" customFormat="true" ht="13.5"/>
    <row r="847" s="96" customFormat="true" ht="13.5"/>
    <row r="848" s="96" customFormat="true" ht="13.5"/>
    <row r="849" s="96" customFormat="true" ht="13.5"/>
    <row r="850" s="96" customFormat="true" ht="13.5"/>
    <row r="851" s="96" customFormat="true" ht="13.5"/>
    <row r="852" s="96" customFormat="true" ht="13.5"/>
    <row r="853" s="96" customFormat="true" ht="13.5"/>
    <row r="854" s="96" customFormat="true" ht="13.5"/>
    <row r="855" s="96" customFormat="true" ht="13.5"/>
    <row r="856" s="96" customFormat="true" ht="13.5"/>
    <row r="857" s="96" customFormat="true" ht="13.5"/>
    <row r="858" s="96" customFormat="true" ht="13.5"/>
    <row r="859" s="96" customFormat="true" ht="13.5"/>
    <row r="860" s="96" customFormat="true" ht="13.5"/>
    <row r="861" s="96" customFormat="true" ht="13.5"/>
    <row r="862" s="96" customFormat="true" ht="13.5"/>
    <row r="863" s="96" customFormat="true" ht="13.5"/>
    <row r="864" s="96" customFormat="true" ht="13.5"/>
    <row r="865" s="96" customFormat="true" ht="13.5"/>
    <row r="866" s="96" customFormat="true" ht="13.5"/>
    <row r="867" s="96" customFormat="true" ht="13.5"/>
    <row r="868" s="96" customFormat="true" ht="13.5"/>
    <row r="869" s="96" customFormat="true" ht="13.5"/>
    <row r="870" s="96" customFormat="true" ht="13.5"/>
    <row r="871" s="96" customFormat="true" ht="13.5"/>
    <row r="872" s="96" customFormat="true" ht="13.5"/>
    <row r="873" s="96" customFormat="true" ht="13.5"/>
    <row r="874" s="96" customFormat="true" ht="13.5"/>
    <row r="875" s="96" customFormat="true" ht="13.5"/>
    <row r="876" s="96" customFormat="true" ht="13.5"/>
    <row r="877" s="96" customFormat="true" ht="13.5"/>
    <row r="878" s="96" customFormat="true" ht="13.5"/>
    <row r="879" s="96" customFormat="true" ht="13.5"/>
    <row r="880" s="96" customFormat="true" ht="13.5"/>
    <row r="881" s="96" customFormat="true" ht="13.5"/>
    <row r="882" s="96" customFormat="true" ht="13.5"/>
    <row r="883" s="96" customFormat="true" ht="13.5"/>
    <row r="884" s="96" customFormat="true" ht="13.5"/>
    <row r="885" s="96" customFormat="true" ht="13.5"/>
    <row r="886" s="96" customFormat="true" ht="13.5"/>
    <row r="887" s="96" customFormat="true" ht="13.5"/>
    <row r="888" s="96" customFormat="true" ht="13.5"/>
    <row r="889" s="96" customFormat="true" ht="13.5"/>
    <row r="890" s="96" customFormat="true" ht="13.5"/>
    <row r="891" s="96" customFormat="true" ht="13.5"/>
    <row r="892" s="96" customFormat="true" ht="13.5"/>
    <row r="893" s="96" customFormat="true" ht="13.5"/>
    <row r="894" s="96" customFormat="true" ht="13.5"/>
    <row r="895" s="96" customFormat="true" ht="13.5"/>
    <row r="896" s="96" customFormat="true" ht="13.5"/>
    <row r="897" s="96" customFormat="true" ht="13.5"/>
    <row r="898" s="96" customFormat="true" ht="13.5"/>
    <row r="899" s="96" customFormat="true" ht="13.5"/>
    <row r="900" s="96" customFormat="true" ht="13.5"/>
    <row r="901" s="96" customFormat="true" ht="13.5"/>
    <row r="902" s="96" customFormat="true" ht="13.5"/>
    <row r="903" s="96" customFormat="true" ht="13.5"/>
    <row r="904" s="96" customFormat="true" ht="13.5"/>
    <row r="905" s="96" customFormat="true" ht="13.5"/>
    <row r="906" s="96" customFormat="true" ht="13.5"/>
    <row r="907" s="96" customFormat="true" ht="13.5"/>
    <row r="908" s="96" customFormat="true" ht="13.5"/>
    <row r="909" s="96" customFormat="true" ht="13.5"/>
    <row r="910" s="96" customFormat="true" ht="13.5"/>
    <row r="911" s="96" customFormat="true" ht="13.5"/>
    <row r="912" s="96" customFormat="true" ht="13.5"/>
    <row r="913" s="96" customFormat="true" ht="13.5"/>
    <row r="914" s="96" customFormat="true" ht="13.5"/>
    <row r="915" s="96" customFormat="true" ht="13.5"/>
    <row r="916" s="96" customFormat="true" ht="13.5"/>
    <row r="917" s="96" customFormat="true" ht="13.5"/>
    <row r="918" s="96" customFormat="true" ht="13.5"/>
    <row r="919" s="96" customFormat="true" ht="13.5"/>
    <row r="920" s="96" customFormat="true" ht="13.5"/>
    <row r="921" s="96" customFormat="true" ht="13.5"/>
    <row r="922" s="96" customFormat="true" ht="13.5"/>
    <row r="923" s="96" customFormat="true" ht="13.5"/>
    <row r="924" s="96" customFormat="true" ht="13.5"/>
    <row r="925" s="96" customFormat="true" ht="13.5"/>
    <row r="926" s="96" customFormat="true" ht="13.5"/>
    <row r="927" s="96" customFormat="true" ht="13.5"/>
    <row r="928" s="96" customFormat="true" ht="13.5"/>
    <row r="929" s="96" customFormat="true" ht="13.5"/>
    <row r="930" s="96" customFormat="true" ht="13.5"/>
    <row r="931" s="96" customFormat="true" ht="13.5"/>
    <row r="932" s="96" customFormat="true" ht="13.5"/>
    <row r="933" s="96" customFormat="true" ht="13.5"/>
    <row r="934" s="96" customFormat="true" ht="13.5"/>
    <row r="935" s="96" customFormat="true" ht="13.5"/>
    <row r="936" s="96" customFormat="true" ht="13.5"/>
    <row r="937" s="96" customFormat="true" ht="13.5"/>
    <row r="938" s="96" customFormat="true" ht="13.5"/>
    <row r="939" s="96" customFormat="true" ht="13.5"/>
    <row r="940" s="96" customFormat="true" ht="13.5"/>
    <row r="941" s="96" customFormat="true" ht="13.5"/>
    <row r="942" s="96" customFormat="true" ht="13.5"/>
    <row r="943" s="96" customFormat="true" ht="13.5"/>
    <row r="944" s="96" customFormat="true" ht="13.5"/>
    <row r="945" s="96" customFormat="true" ht="13.5"/>
    <row r="946" s="96" customFormat="true" ht="13.5"/>
    <row r="947" s="96" customFormat="true" ht="13.5"/>
    <row r="948" s="96" customFormat="true" ht="13.5"/>
    <row r="949" s="96" customFormat="true" ht="13.5"/>
    <row r="950" s="96" customFormat="true" ht="13.5"/>
    <row r="951" s="96" customFormat="true" ht="13.5"/>
    <row r="952" s="96" customFormat="true" ht="13.5"/>
    <row r="953" s="96" customFormat="true" ht="13.5"/>
    <row r="954" s="96" customFormat="true" ht="13.5"/>
    <row r="955" s="96" customFormat="true" ht="13.5"/>
    <row r="956" s="96" customFormat="true" ht="13.5"/>
    <row r="957" s="96" customFormat="true" ht="13.5"/>
    <row r="958" s="96" customFormat="true" ht="13.5"/>
    <row r="959" s="96" customFormat="true" ht="13.5"/>
    <row r="960" s="96" customFormat="true" ht="13.5"/>
    <row r="961" s="96" customFormat="true" ht="13.5"/>
    <row r="962" s="96" customFormat="true" ht="13.5"/>
    <row r="963" s="96" customFormat="true" ht="13.5"/>
    <row r="964" s="96" customFormat="true" ht="13.5"/>
    <row r="965" s="96" customFormat="true" ht="13.5"/>
    <row r="966" s="96" customFormat="true" ht="13.5"/>
    <row r="967" s="96" customFormat="true" ht="13.5"/>
    <row r="968" s="96" customFormat="true" ht="13.5"/>
    <row r="969" s="96" customFormat="true" ht="13.5"/>
    <row r="970" s="96" customFormat="true" ht="13.5"/>
    <row r="971" s="96" customFormat="true" ht="13.5"/>
    <row r="972" s="96" customFormat="true" ht="13.5"/>
    <row r="973" s="96" customFormat="true" ht="13.5"/>
    <row r="974" s="96" customFormat="true" ht="13.5"/>
    <row r="975" s="96" customFormat="true" ht="13.5"/>
    <row r="976" s="96" customFormat="true" ht="13.5"/>
    <row r="977" s="96" customFormat="true" ht="13.5"/>
    <row r="978" s="96" customFormat="true" ht="13.5"/>
    <row r="979" s="96" customFormat="true" ht="13.5"/>
    <row r="980" s="96" customFormat="true" ht="13.5"/>
    <row r="981" s="96" customFormat="true" ht="13.5"/>
    <row r="982" s="96" customFormat="true" ht="13.5"/>
    <row r="983" s="96" customFormat="true" ht="13.5"/>
    <row r="984" s="96" customFormat="true" ht="13.5"/>
    <row r="985" s="96" customFormat="true" ht="13.5"/>
    <row r="986" s="96" customFormat="true" ht="13.5"/>
    <row r="987" s="96" customFormat="true" ht="13.5"/>
    <row r="988" s="96" customFormat="true" ht="13.5"/>
    <row r="989" s="96" customFormat="true" ht="13.5"/>
    <row r="990" s="96" customFormat="true" ht="13.5"/>
    <row r="991" s="96" customFormat="true" ht="13.5"/>
    <row r="992" s="96" customFormat="true" ht="13.5"/>
    <row r="993" s="96" customFormat="true" ht="13.5"/>
    <row r="994" s="96" customFormat="true" ht="13.5"/>
    <row r="995" s="96" customFormat="true" ht="13.5"/>
    <row r="996" s="96" customFormat="true" ht="13.5"/>
    <row r="997" s="96" customFormat="true" ht="13.5"/>
    <row r="998" s="96" customFormat="true" ht="13.5"/>
    <row r="999" s="96" customFormat="true" ht="13.5"/>
    <row r="1000" s="96" customFormat="true" ht="13.5"/>
    <row r="1001" s="96" customFormat="true" ht="13.5"/>
    <row r="1002" s="96" customFormat="true" ht="13.5"/>
    <row r="1003" s="96" customFormat="true" ht="13.5"/>
    <row r="1004" s="96" customFormat="true" ht="13.5"/>
    <row r="1005" s="96" customFormat="true" ht="13.5"/>
    <row r="1006" s="96" customFormat="true" ht="13.5"/>
    <row r="1007" s="96" customFormat="true" ht="13.5"/>
    <row r="1008" s="96" customFormat="true" ht="13.5"/>
    <row r="1009" s="96" customFormat="true" ht="13.5"/>
    <row r="1010" s="96" customFormat="true" ht="13.5"/>
    <row r="1011" s="96" customFormat="true" ht="13.5"/>
    <row r="1012" s="96" customFormat="true" ht="13.5"/>
    <row r="1013" s="96" customFormat="true" ht="13.5"/>
    <row r="1014" s="96" customFormat="true" ht="13.5"/>
    <row r="1015" s="96" customFormat="true" ht="13.5"/>
    <row r="1016" s="96" customFormat="true" ht="13.5"/>
    <row r="1017" s="96" customFormat="true" ht="13.5"/>
    <row r="1018" s="96" customFormat="true" ht="13.5"/>
    <row r="1019" s="96" customFormat="true" ht="13.5"/>
    <row r="1020" s="96" customFormat="true" ht="13.5"/>
    <row r="1021" s="96" customFormat="true" ht="13.5"/>
    <row r="1022" s="96" customFormat="true" ht="13.5"/>
    <row r="1023" s="96" customFormat="true" ht="13.5"/>
    <row r="1024" s="96" customFormat="true" ht="13.5"/>
    <row r="1025" s="96" customFormat="true" ht="13.5"/>
    <row r="1026" s="96" customFormat="true" ht="13.5"/>
    <row r="1027" s="96" customFormat="true" ht="13.5"/>
    <row r="1028" s="96" customFormat="true" ht="13.5"/>
    <row r="1029" s="96" customFormat="true" ht="13.5"/>
    <row r="1030" s="96" customFormat="true" ht="13.5"/>
    <row r="1031" s="96" customFormat="true" ht="13.5"/>
    <row r="1032" s="96" customFormat="true" ht="13.5"/>
    <row r="1033" s="96" customFormat="true" ht="13.5"/>
    <row r="1034" s="96" customFormat="true" ht="13.5"/>
    <row r="1035" s="96" customFormat="true" ht="13.5"/>
    <row r="1036" s="96" customFormat="true" ht="13.5"/>
    <row r="1037" s="96" customFormat="true" ht="13.5"/>
    <row r="1038" s="96" customFormat="true" ht="13.5"/>
    <row r="1039" s="96" customFormat="true" ht="13.5"/>
    <row r="1040" s="96" customFormat="true" ht="13.5"/>
    <row r="1041" s="96" customFormat="true" ht="13.5"/>
    <row r="1042" s="96" customFormat="true" ht="13.5"/>
    <row r="1043" s="96" customFormat="true" ht="13.5"/>
    <row r="1044" s="96" customFormat="true" ht="13.5"/>
    <row r="1045" s="96" customFormat="true" ht="13.5"/>
    <row r="1046" s="96" customFormat="true" ht="13.5"/>
    <row r="1047" s="96" customFormat="true" ht="13.5"/>
    <row r="1048" s="96" customFormat="true" ht="13.5"/>
    <row r="1049" s="96" customFormat="true" ht="13.5"/>
    <row r="1050" s="96" customFormat="true" ht="13.5"/>
    <row r="1051" s="96" customFormat="true" ht="13.5"/>
    <row r="1052" s="96" customFormat="true" ht="13.5"/>
    <row r="1053" s="96" customFormat="true" ht="13.5"/>
    <row r="1054" s="96" customFormat="true" ht="13.5"/>
    <row r="1055" s="96" customFormat="true" ht="13.5"/>
    <row r="1056" s="96" customFormat="true" ht="13.5"/>
    <row r="1057" s="96" customFormat="true" ht="13.5"/>
    <row r="1058" s="96" customFormat="true" ht="13.5"/>
    <row r="1059" s="96" customFormat="true" ht="13.5"/>
    <row r="1060" s="96" customFormat="true" ht="13.5"/>
    <row r="1061" s="96" customFormat="true" ht="13.5"/>
    <row r="1062" s="96" customFormat="true" ht="13.5"/>
    <row r="1063" s="96" customFormat="true" ht="13.5"/>
    <row r="1064" s="96" customFormat="true" ht="13.5"/>
    <row r="1065" s="96" customFormat="true" ht="13.5"/>
    <row r="1066" s="96" customFormat="true" ht="13.5"/>
    <row r="1067" s="96" customFormat="true" ht="13.5"/>
    <row r="1068" s="96" customFormat="true" ht="13.5"/>
    <row r="1069" s="96" customFormat="true" ht="13.5"/>
    <row r="1070" s="96" customFormat="true" ht="13.5"/>
    <row r="1071" s="96" customFormat="true" ht="13.5"/>
    <row r="1072" s="96" customFormat="true" ht="13.5"/>
    <row r="1073" s="96" customFormat="true" ht="13.5"/>
    <row r="1074" s="96" customFormat="true" ht="13.5"/>
    <row r="1075" s="96" customFormat="true" ht="13.5"/>
    <row r="1076" s="96" customFormat="true" ht="13.5"/>
    <row r="1077" s="96" customFormat="true" ht="13.5"/>
    <row r="1078" s="96" customFormat="true" ht="13.5"/>
    <row r="1079" s="96" customFormat="true" ht="13.5"/>
    <row r="1080" s="96" customFormat="true" ht="13.5"/>
    <row r="1081" s="96" customFormat="true" ht="13.5"/>
    <row r="1082" s="96" customFormat="true" ht="13.5"/>
    <row r="1083" s="96" customFormat="true" ht="13.5"/>
    <row r="1084" s="96" customFormat="true" ht="13.5"/>
    <row r="1085" s="96" customFormat="true" ht="13.5"/>
    <row r="1086" s="96" customFormat="true" ht="13.5"/>
    <row r="1087" s="96" customFormat="true" ht="13.5"/>
    <row r="1088" s="96" customFormat="true" ht="13.5"/>
    <row r="1089" s="96" customFormat="true" ht="13.5"/>
    <row r="1090" s="96" customFormat="true" ht="13.5"/>
    <row r="1091" s="96" customFormat="true" ht="13.5"/>
    <row r="1092" s="96" customFormat="true" ht="13.5"/>
    <row r="1093" s="96" customFormat="true" ht="13.5"/>
    <row r="1094" s="96" customFormat="true" ht="13.5"/>
    <row r="1095" s="96" customFormat="true" ht="13.5"/>
    <row r="1096" s="96" customFormat="true" ht="13.5"/>
    <row r="1097" s="96" customFormat="true" ht="13.5"/>
    <row r="1098" s="96" customFormat="true" ht="13.5"/>
    <row r="1099" s="96" customFormat="true" ht="13.5"/>
    <row r="1100" s="96" customFormat="true" ht="13.5"/>
    <row r="1101" s="96" customFormat="true" ht="13.5"/>
    <row r="1102" s="96" customFormat="true" ht="13.5"/>
    <row r="1103" s="96" customFormat="true" ht="13.5"/>
    <row r="1104" s="96" customFormat="true" ht="13.5"/>
    <row r="1105" s="96" customFormat="true" ht="13.5"/>
    <row r="1106" s="96" customFormat="true" ht="13.5"/>
    <row r="1107" s="96" customFormat="true" ht="13.5"/>
    <row r="1108" s="96" customFormat="true" ht="13.5"/>
    <row r="1109" s="96" customFormat="true" ht="13.5"/>
    <row r="1110" s="96" customFormat="true" ht="13.5"/>
    <row r="1111" s="96" customFormat="true" ht="13.5"/>
    <row r="1112" s="96" customFormat="true" ht="13.5"/>
    <row r="1113" s="96" customFormat="true" ht="13.5"/>
    <row r="1114" s="96" customFormat="true" ht="13.5"/>
    <row r="1115" s="96" customFormat="true" ht="13.5"/>
    <row r="1116" s="96" customFormat="true" ht="13.5"/>
    <row r="1117" s="96" customFormat="true" ht="13.5"/>
    <row r="1118" s="96" customFormat="true" ht="13.5"/>
    <row r="1119" s="96" customFormat="true" ht="13.5"/>
    <row r="1120" s="96" customFormat="true" ht="13.5"/>
    <row r="1121" s="96" customFormat="true" ht="13.5"/>
    <row r="1122" s="96" customFormat="true" ht="13.5"/>
    <row r="1123" s="96" customFormat="true" ht="13.5"/>
    <row r="1124" s="96" customFormat="true" ht="13.5"/>
    <row r="1125" s="96" customFormat="true" ht="13.5"/>
    <row r="1126" s="96" customFormat="true" ht="13.5"/>
    <row r="1127" s="96" customFormat="true" ht="13.5"/>
    <row r="1128" s="96" customFormat="true" ht="13.5"/>
    <row r="1129" s="96" customFormat="true" ht="13.5"/>
    <row r="1130" s="96" customFormat="true" ht="13.5"/>
    <row r="1131" s="96" customFormat="true" ht="13.5"/>
    <row r="1132" s="96" customFormat="true" ht="13.5"/>
    <row r="1133" s="96" customFormat="true" ht="13.5"/>
    <row r="1134" s="96" customFormat="true" ht="13.5"/>
    <row r="1135" s="96" customFormat="true" ht="13.5"/>
    <row r="1136" s="96" customFormat="true" ht="13.5"/>
    <row r="1137" s="96" customFormat="true" ht="13.5"/>
    <row r="1138" s="96" customFormat="true" ht="13.5"/>
    <row r="1139" s="96" customFormat="true" ht="13.5"/>
    <row r="1140" s="96" customFormat="true" ht="13.5"/>
    <row r="1141" s="96" customFormat="true" ht="13.5"/>
    <row r="1142" s="96" customFormat="true" ht="13.5"/>
    <row r="1143" s="96" customFormat="true" ht="13.5"/>
    <row r="1144" s="96" customFormat="true" ht="13.5"/>
    <row r="1145" s="96" customFormat="true" ht="13.5"/>
    <row r="1146" s="96" customFormat="true" ht="13.5"/>
    <row r="1147" s="96" customFormat="true" ht="13.5"/>
    <row r="1148" s="96" customFormat="true" ht="13.5"/>
    <row r="1149" s="96" customFormat="true" ht="13.5"/>
    <row r="1150" s="96" customFormat="true" ht="13.5"/>
    <row r="1151" s="96" customFormat="true" ht="13.5"/>
    <row r="1152" s="96" customFormat="true" ht="13.5"/>
    <row r="1153" s="96" customFormat="true" ht="13.5"/>
    <row r="1154" s="96" customFormat="true" ht="13.5"/>
    <row r="1155" s="96" customFormat="true" ht="13.5"/>
    <row r="1156" s="96" customFormat="true" ht="13.5"/>
    <row r="1157" s="96" customFormat="true" ht="13.5"/>
    <row r="1158" s="96" customFormat="true" ht="13.5"/>
    <row r="1159" s="96" customFormat="true" ht="13.5"/>
    <row r="1160" s="96" customFormat="true" ht="13.5"/>
    <row r="1161" s="96" customFormat="true" ht="13.5"/>
    <row r="1162" s="96" customFormat="true" ht="13.5"/>
    <row r="1163" s="96" customFormat="true" ht="13.5"/>
    <row r="1164" s="96" customFormat="true" ht="13.5"/>
    <row r="1165" s="96" customFormat="true" ht="13.5"/>
    <row r="1166" s="96" customFormat="true" ht="13.5"/>
    <row r="1167" s="96" customFormat="true" ht="13.5"/>
    <row r="1168" s="96" customFormat="true" ht="13.5"/>
    <row r="1169" s="96" customFormat="true" ht="13.5"/>
    <row r="1170" s="96" customFormat="true" ht="13.5"/>
    <row r="1171" s="96" customFormat="true" ht="13.5"/>
    <row r="1172" s="96" customFormat="true" ht="13.5"/>
    <row r="1173" s="96" customFormat="true" ht="13.5"/>
    <row r="1174" s="96" customFormat="true" ht="13.5"/>
    <row r="1175" s="96" customFormat="true" ht="13.5"/>
    <row r="1176" s="96" customFormat="true" ht="13.5"/>
    <row r="1177" s="96" customFormat="true" ht="13.5"/>
    <row r="1178" s="96" customFormat="true" ht="13.5"/>
    <row r="1179" s="96" customFormat="true" ht="13.5"/>
    <row r="1180" s="96" customFormat="true" ht="13.5"/>
    <row r="1181" s="96" customFormat="true" ht="13.5"/>
    <row r="1182" s="96" customFormat="true" ht="13.5"/>
    <row r="1183" s="96" customFormat="true" ht="13.5"/>
    <row r="1184" s="96" customFormat="true" ht="13.5"/>
    <row r="1185" s="96" customFormat="true" ht="13.5"/>
    <row r="1186" s="96" customFormat="true" ht="13.5"/>
    <row r="1187" s="96" customFormat="true" ht="13.5"/>
    <row r="1188" s="96" customFormat="true" ht="13.5"/>
    <row r="1189" s="96" customFormat="true" ht="13.5"/>
    <row r="1190" s="96" customFormat="true" ht="13.5"/>
    <row r="1191" s="96" customFormat="true" ht="13.5"/>
    <row r="1192" s="96" customFormat="true" ht="13.5"/>
    <row r="1193" s="96" customFormat="true" ht="13.5"/>
    <row r="1194" s="96" customFormat="true" ht="13.5"/>
    <row r="1195" s="96" customFormat="true" ht="13.5"/>
    <row r="1196" s="96" customFormat="true" ht="13.5"/>
    <row r="1197" s="96" customFormat="true" ht="13.5"/>
    <row r="1198" s="96" customFormat="true" ht="13.5"/>
    <row r="1199" s="96" customFormat="true" ht="13.5"/>
    <row r="1200" s="96" customFormat="true" ht="13.5"/>
    <row r="1201" s="96" customFormat="true" ht="13.5"/>
    <row r="1202" s="96" customFormat="true" ht="13.5"/>
    <row r="1203" s="96" customFormat="true" ht="13.5"/>
    <row r="1204" s="96" customFormat="true" ht="13.5"/>
    <row r="1205" s="96" customFormat="true" ht="13.5"/>
    <row r="1206" s="96" customFormat="true" ht="13.5"/>
    <row r="1207" s="96" customFormat="true" ht="13.5"/>
    <row r="1208" s="96" customFormat="true" ht="13.5"/>
    <row r="1209" s="96" customFormat="true" ht="13.5"/>
    <row r="1210" s="96" customFormat="true" ht="13.5"/>
    <row r="1211" s="96" customFormat="true" ht="13.5"/>
    <row r="1212" s="96" customFormat="true" ht="13.5"/>
    <row r="1213" s="96" customFormat="true" ht="13.5"/>
    <row r="1214" s="96" customFormat="true" ht="13.5"/>
    <row r="1215" s="96" customFormat="true" ht="13.5"/>
    <row r="1216" s="96" customFormat="true" ht="13.5"/>
    <row r="1217" s="96" customFormat="true" ht="13.5"/>
    <row r="1218" s="96" customFormat="true" ht="13.5"/>
    <row r="1219" s="96" customFormat="true" ht="13.5"/>
    <row r="1220" s="96" customFormat="true" ht="13.5"/>
    <row r="1221" s="96" customFormat="true" ht="13.5"/>
    <row r="1222" s="96" customFormat="true" ht="13.5"/>
    <row r="1223" s="96" customFormat="true" ht="13.5"/>
    <row r="1224" s="96" customFormat="true" ht="13.5"/>
    <row r="1225" s="96" customFormat="true" ht="13.5"/>
    <row r="1226" s="96" customFormat="true" ht="13.5"/>
    <row r="1227" s="96" customFormat="true" ht="13.5"/>
    <row r="1228" s="96" customFormat="true" ht="13.5"/>
    <row r="1229" s="96" customFormat="true" ht="13.5"/>
    <row r="1230" s="96" customFormat="true" ht="13.5"/>
    <row r="1231" s="96" customFormat="true" ht="13.5"/>
    <row r="1232" s="96" customFormat="true" ht="13.5"/>
    <row r="1233" s="96" customFormat="true" ht="13.5"/>
    <row r="1234" s="96" customFormat="true" ht="13.5"/>
    <row r="1235" s="96" customFormat="true" ht="13.5"/>
    <row r="1236" s="96" customFormat="true" ht="13.5"/>
    <row r="1237" s="96" customFormat="true" ht="13.5"/>
    <row r="1238" s="96" customFormat="true" ht="13.5"/>
    <row r="1239" s="96" customFormat="true" ht="13.5"/>
    <row r="1240" s="96" customFormat="true" ht="13.5"/>
    <row r="1241" s="96" customFormat="true" ht="13.5"/>
    <row r="1242" s="96" customFormat="true" ht="13.5"/>
    <row r="1243" s="96" customFormat="true" ht="13.5"/>
    <row r="1244" s="96" customFormat="true" ht="13.5"/>
    <row r="1245" s="96" customFormat="true" ht="13.5"/>
    <row r="1246" s="96" customFormat="true" ht="13.5"/>
    <row r="1247" s="96" customFormat="true" ht="13.5"/>
    <row r="1248" s="96" customFormat="true" ht="13.5"/>
    <row r="1249" s="96" customFormat="true" ht="13.5"/>
    <row r="1250" s="96" customFormat="true" ht="13.5"/>
    <row r="1251" s="96" customFormat="true" ht="13.5"/>
    <row r="1252" s="96" customFormat="true" ht="13.5"/>
    <row r="1253" s="96" customFormat="true" ht="13.5"/>
    <row r="1254" s="96" customFormat="true" ht="13.5"/>
    <row r="1255" s="96" customFormat="true" ht="13.5"/>
    <row r="1256" s="96" customFormat="true" ht="13.5"/>
    <row r="1257" s="96" customFormat="true" ht="13.5"/>
    <row r="1258" s="96" customFormat="true" ht="13.5"/>
    <row r="1259" s="96" customFormat="true" ht="13.5"/>
    <row r="1260" s="96" customFormat="true" ht="13.5"/>
    <row r="1261" s="96" customFormat="true" ht="13.5"/>
    <row r="1262" s="96" customFormat="true" ht="13.5"/>
    <row r="1263" s="96" customFormat="true" ht="13.5"/>
    <row r="1264" s="96" customFormat="true" ht="13.5"/>
    <row r="1265" s="96" customFormat="true" ht="13.5"/>
    <row r="1266" s="96" customFormat="true" ht="13.5"/>
    <row r="1267" s="96" customFormat="true" ht="13.5"/>
    <row r="1268" s="96" customFormat="true" ht="13.5"/>
    <row r="1269" s="96" customFormat="true" ht="13.5"/>
    <row r="1270" s="96" customFormat="true" ht="13.5"/>
    <row r="1271" s="96" customFormat="true" ht="13.5"/>
    <row r="1272" s="96" customFormat="true" ht="13.5"/>
    <row r="1273" s="96" customFormat="true" ht="13.5"/>
    <row r="1274" s="96" customFormat="true" ht="13.5"/>
    <row r="1275" s="96" customFormat="true" ht="13.5"/>
    <row r="1276" s="96" customFormat="true" ht="13.5"/>
    <row r="1277" s="96" customFormat="true" ht="13.5"/>
    <row r="1278" s="96" customFormat="true" ht="13.5"/>
    <row r="1279" s="96" customFormat="true" ht="13.5"/>
    <row r="1280" s="96" customFormat="true" ht="13.5"/>
    <row r="1281" s="96" customFormat="true" ht="13.5"/>
    <row r="1282" s="96" customFormat="true" ht="13.5"/>
    <row r="1283" s="96" customFormat="true" ht="13.5"/>
    <row r="1284" s="96" customFormat="true" ht="13.5"/>
    <row r="1285" s="96" customFormat="true" ht="13.5"/>
    <row r="1286" s="96" customFormat="true" ht="13.5"/>
    <row r="1287" s="96" customFormat="true" ht="13.5"/>
    <row r="1288" s="96" customFormat="true" ht="13.5"/>
    <row r="1289" s="96" customFormat="true" ht="13.5"/>
    <row r="1290" s="96" customFormat="true" ht="13.5"/>
    <row r="1291" s="96" customFormat="true" ht="13.5"/>
    <row r="1292" s="96" customFormat="true" ht="13.5"/>
    <row r="1293" s="96" customFormat="true" ht="13.5"/>
    <row r="1294" s="96" customFormat="true" ht="13.5"/>
    <row r="1295" s="96" customFormat="true" ht="13.5"/>
    <row r="1296" s="96" customFormat="true" ht="13.5"/>
    <row r="1297" s="96" customFormat="true" ht="13.5"/>
    <row r="1298" s="96" customFormat="true" ht="13.5"/>
    <row r="1299" s="96" customFormat="true" ht="13.5"/>
    <row r="1300" s="96" customFormat="true" ht="13.5"/>
    <row r="1301" s="96" customFormat="true" ht="13.5"/>
    <row r="1302" s="96" customFormat="true" ht="13.5"/>
    <row r="1303" s="96" customFormat="true" ht="13.5"/>
    <row r="1304" s="96" customFormat="true" ht="13.5"/>
    <row r="1305" s="96" customFormat="true" ht="13.5"/>
    <row r="1306" s="96" customFormat="true" ht="13.5"/>
    <row r="1307" s="96" customFormat="true" ht="13.5"/>
    <row r="1308" s="96" customFormat="true" ht="13.5"/>
    <row r="1309" s="96" customFormat="true" ht="13.5"/>
    <row r="1310" s="96" customFormat="true" ht="13.5"/>
    <row r="1311" s="96" customFormat="true" ht="13.5"/>
    <row r="1312" s="96" customFormat="true" ht="13.5"/>
    <row r="1313" s="96" customFormat="true" ht="13.5"/>
    <row r="1314" s="96" customFormat="true" ht="13.5"/>
    <row r="1315" s="96" customFormat="true" ht="13.5"/>
    <row r="1316" s="96" customFormat="true" ht="13.5"/>
    <row r="1317" s="96" customFormat="true" ht="13.5"/>
    <row r="1318" s="96" customFormat="true" ht="13.5"/>
    <row r="1319" s="96" customFormat="true" ht="13.5"/>
    <row r="1320" s="96" customFormat="true" ht="13.5"/>
    <row r="1321" s="96" customFormat="true" ht="13.5"/>
    <row r="1322" s="96" customFormat="true" ht="13.5"/>
    <row r="1323" s="96" customFormat="true" ht="13.5"/>
    <row r="1324" s="96" customFormat="true" ht="13.5"/>
    <row r="1325" s="96" customFormat="true" ht="13.5"/>
    <row r="1326" s="96" customFormat="true" ht="13.5"/>
    <row r="1327" s="96" customFormat="true" ht="13.5"/>
    <row r="1328" s="96" customFormat="true" ht="13.5"/>
    <row r="1329" s="96" customFormat="true" ht="13.5"/>
    <row r="1330" s="96" customFormat="true" ht="13.5"/>
    <row r="1331" s="96" customFormat="true" ht="13.5"/>
    <row r="1332" s="96" customFormat="true" ht="13.5"/>
    <row r="1333" s="96" customFormat="true" ht="13.5"/>
    <row r="1334" s="96" customFormat="true" ht="13.5"/>
    <row r="1335" s="96" customFormat="true" ht="13.5"/>
    <row r="1336" s="96" customFormat="true" ht="13.5"/>
    <row r="1337" s="96" customFormat="true" ht="13.5"/>
    <row r="1338" s="96" customFormat="true" ht="13.5"/>
    <row r="1339" s="96" customFormat="true" ht="13.5"/>
    <row r="1340" s="96" customFormat="true" ht="13.5"/>
    <row r="1341" s="96" customFormat="true" ht="13.5"/>
    <row r="1342" s="96" customFormat="true" ht="13.5"/>
    <row r="1343" s="96" customFormat="true" ht="13.5"/>
    <row r="1344" s="96" customFormat="true" ht="13.5"/>
    <row r="1345" s="96" customFormat="true" ht="13.5"/>
    <row r="1346" s="96" customFormat="true" ht="13.5"/>
    <row r="1347" s="96" customFormat="true" ht="13.5"/>
    <row r="1348" s="96" customFormat="true" ht="13.5"/>
    <row r="1349" s="96" customFormat="true" ht="13.5"/>
    <row r="1350" s="96" customFormat="true" ht="13.5"/>
    <row r="1351" s="96" customFormat="true" ht="13.5"/>
    <row r="1352" s="96" customFormat="true" ht="13.5"/>
    <row r="1353" s="96" customFormat="true" ht="13.5"/>
    <row r="1354" s="96" customFormat="true" ht="13.5"/>
    <row r="1355" s="96" customFormat="true" ht="13.5"/>
    <row r="1356" s="96" customFormat="true" ht="13.5"/>
    <row r="1357" s="96" customFormat="true" ht="13.5"/>
    <row r="1358" s="96" customFormat="true" ht="13.5"/>
    <row r="1359" s="96" customFormat="true" ht="13.5"/>
    <row r="1360" s="96" customFormat="true" ht="13.5"/>
    <row r="1361" s="96" customFormat="true" ht="13.5"/>
    <row r="1362" s="96" customFormat="true" ht="13.5"/>
    <row r="1363" s="96" customFormat="true" ht="13.5"/>
    <row r="1364" s="96" customFormat="true" ht="13.5"/>
    <row r="1365" s="96" customFormat="true" ht="13.5"/>
    <row r="1366" s="96" customFormat="true" ht="13.5"/>
    <row r="1367" s="96" customFormat="true" ht="13.5"/>
    <row r="1368" s="96" customFormat="true" ht="13.5"/>
    <row r="1369" s="96" customFormat="true" ht="13.5"/>
    <row r="1370" s="96" customFormat="true" ht="13.5"/>
    <row r="1371" s="96" customFormat="true" ht="13.5"/>
    <row r="1372" s="96" customFormat="true" ht="13.5"/>
    <row r="1373" s="96" customFormat="true" ht="13.5"/>
    <row r="1374" s="96" customFormat="true" ht="13.5"/>
    <row r="1375" s="96" customFormat="true" ht="13.5"/>
    <row r="1376" s="96" customFormat="true" ht="13.5"/>
    <row r="1377" s="96" customFormat="true" ht="13.5"/>
    <row r="1378" s="96" customFormat="true" ht="13.5"/>
    <row r="1379" s="96" customFormat="true" ht="13.5"/>
    <row r="1380" s="96" customFormat="true" ht="13.5"/>
    <row r="1381" s="96" customFormat="true" ht="13.5"/>
    <row r="1382" s="96" customFormat="true" ht="13.5"/>
    <row r="1383" s="96" customFormat="true" ht="13.5"/>
    <row r="1384" s="96" customFormat="true" ht="13.5"/>
    <row r="1385" s="96" customFormat="true" ht="13.5"/>
    <row r="1386" s="96" customFormat="true" ht="13.5"/>
    <row r="1387" s="96" customFormat="true" ht="13.5"/>
    <row r="1388" s="96" customFormat="true" ht="13.5"/>
    <row r="1389" s="96" customFormat="true" ht="13.5"/>
    <row r="1390" s="96" customFormat="true" ht="13.5"/>
    <row r="1391" s="96" customFormat="true" ht="13.5"/>
    <row r="1392" s="96" customFormat="true" ht="13.5"/>
    <row r="1393" s="96" customFormat="true" ht="13.5"/>
    <row r="1394" s="96" customFormat="true" ht="13.5"/>
    <row r="1395" s="96" customFormat="true" ht="13.5"/>
    <row r="1396" s="96" customFormat="true" ht="13.5"/>
    <row r="1397" s="96" customFormat="true" ht="13.5"/>
    <row r="1398" s="96" customFormat="true" ht="13.5"/>
    <row r="1399" s="96" customFormat="true" ht="13.5"/>
    <row r="1400" s="96" customFormat="true" ht="13.5"/>
    <row r="1401" s="96" customFormat="true" ht="13.5"/>
    <row r="1402" s="96" customFormat="true" ht="13.5"/>
    <row r="1403" s="96" customFormat="true" ht="13.5"/>
    <row r="1404" s="96" customFormat="true" ht="13.5"/>
    <row r="1405" s="96" customFormat="true" ht="13.5"/>
    <row r="1406" s="96" customFormat="true" ht="13.5"/>
    <row r="1407" s="96" customFormat="true" ht="13.5"/>
    <row r="1408" s="96" customFormat="true" ht="13.5"/>
    <row r="1409" s="96" customFormat="true" ht="13.5"/>
    <row r="1410" s="96" customFormat="true" ht="13.5"/>
    <row r="1411" s="96" customFormat="true" ht="13.5"/>
    <row r="1412" s="96" customFormat="true" ht="13.5"/>
    <row r="1413" s="96" customFormat="true" ht="13.5"/>
    <row r="1414" s="96" customFormat="true" ht="13.5"/>
    <row r="1415" s="96" customFormat="true" ht="13.5"/>
    <row r="1416" s="96" customFormat="true" ht="13.5"/>
    <row r="1417" s="96" customFormat="true" ht="13.5"/>
    <row r="1418" s="96" customFormat="true" ht="13.5"/>
    <row r="1419" s="96" customFormat="true" ht="13.5"/>
    <row r="1420" s="96" customFormat="true" ht="13.5"/>
    <row r="1421" s="96" customFormat="true" ht="13.5"/>
    <row r="1422" s="96" customFormat="true" ht="13.5"/>
    <row r="1423" s="96" customFormat="true" ht="13.5"/>
    <row r="1424" s="96" customFormat="true" ht="13.5"/>
    <row r="1425" s="96" customFormat="true" ht="13.5"/>
    <row r="1426" s="96" customFormat="true" ht="13.5"/>
    <row r="1427" s="96" customFormat="true" ht="13.5"/>
    <row r="1428" s="96" customFormat="true" ht="13.5"/>
    <row r="1429" s="96" customFormat="true" ht="13.5"/>
    <row r="1430" s="96" customFormat="true" ht="13.5"/>
    <row r="1431" s="96" customFormat="true" ht="13.5"/>
    <row r="1432" s="96" customFormat="true" ht="13.5"/>
    <row r="1433" s="96" customFormat="true" ht="13.5"/>
    <row r="1434" s="96" customFormat="true" ht="13.5"/>
    <row r="1435" s="96" customFormat="true" ht="13.5"/>
    <row r="1436" s="96" customFormat="true" ht="13.5"/>
    <row r="1437" s="96" customFormat="true" ht="13.5"/>
    <row r="1438" s="96" customFormat="true" ht="13.5"/>
    <row r="1439" s="96" customFormat="true" ht="13.5"/>
    <row r="1440" s="96" customFormat="true" ht="13.5"/>
    <row r="1441" s="96" customFormat="true" ht="13.5"/>
    <row r="1442" s="96" customFormat="true" ht="13.5"/>
    <row r="1443" s="96" customFormat="true" ht="13.5"/>
    <row r="1444" s="96" customFormat="true" ht="13.5"/>
    <row r="1445" s="96" customFormat="true" ht="13.5"/>
    <row r="1446" s="96" customFormat="true" ht="13.5"/>
    <row r="1447" s="96" customFormat="true" ht="13.5"/>
    <row r="1448" s="96" customFormat="true" ht="13.5"/>
    <row r="1449" s="96" customFormat="true" ht="13.5"/>
    <row r="1450" s="96" customFormat="true" ht="13.5"/>
    <row r="1451" s="96" customFormat="true" ht="13.5"/>
    <row r="1452" s="96" customFormat="true" ht="13.5"/>
    <row r="1453" s="96" customFormat="true" ht="13.5"/>
    <row r="1454" s="96" customFormat="true" ht="13.5"/>
    <row r="1455" s="96" customFormat="true" ht="13.5"/>
    <row r="1456" s="96" customFormat="true" ht="13.5"/>
    <row r="1457" s="96" customFormat="true" ht="13.5"/>
    <row r="1458" s="96" customFormat="true" ht="13.5"/>
    <row r="1459" s="96" customFormat="true" ht="13.5"/>
    <row r="1460" s="96" customFormat="true" ht="13.5"/>
    <row r="1461" s="96" customFormat="true" ht="13.5"/>
    <row r="1462" s="96" customFormat="true" ht="13.5"/>
    <row r="1463" s="96" customFormat="true" ht="13.5"/>
    <row r="1464" s="96" customFormat="true" ht="13.5"/>
    <row r="1465" s="96" customFormat="true" ht="13.5"/>
    <row r="1466" s="96" customFormat="true" ht="13.5"/>
    <row r="1467" s="96" customFormat="true" ht="13.5"/>
    <row r="1468" s="96" customFormat="true" ht="13.5"/>
    <row r="1469" s="96" customFormat="true" ht="13.5"/>
    <row r="1470" s="96" customFormat="true" ht="13.5"/>
    <row r="1471" s="96" customFormat="true" ht="13.5"/>
    <row r="1472" s="96" customFormat="true" ht="13.5"/>
    <row r="1473" s="96" customFormat="true" ht="13.5"/>
    <row r="1474" s="96" customFormat="true" ht="13.5"/>
    <row r="1475" s="96" customFormat="true" ht="13.5"/>
    <row r="1476" s="96" customFormat="true" ht="13.5"/>
    <row r="1477" s="96" customFormat="true" ht="13.5"/>
    <row r="1478" s="96" customFormat="true" ht="13.5"/>
    <row r="1479" s="96" customFormat="true" ht="13.5"/>
    <row r="1480" s="96" customFormat="true" ht="13.5"/>
    <row r="1481" s="96" customFormat="true" ht="13.5"/>
    <row r="1482" s="96" customFormat="true" ht="13.5"/>
    <row r="1483" s="96" customFormat="true" ht="13.5"/>
    <row r="1484" s="96" customFormat="true" ht="13.5"/>
    <row r="1485" s="96" customFormat="true" ht="13.5"/>
    <row r="1486" s="96" customFormat="true" ht="13.5"/>
    <row r="1487" s="96" customFormat="true" ht="13.5"/>
    <row r="1488" s="96" customFormat="true" ht="13.5"/>
    <row r="1489" s="96" customFormat="true" ht="13.5"/>
    <row r="1490" s="96" customFormat="true" ht="13.5"/>
    <row r="1491" s="96" customFormat="true" ht="13.5"/>
    <row r="1492" s="96" customFormat="true" ht="13.5"/>
    <row r="1493" s="96" customFormat="true" ht="13.5"/>
    <row r="1494" s="96" customFormat="true" ht="13.5"/>
    <row r="1495" s="96" customFormat="true" ht="13.5"/>
    <row r="1496" s="96" customFormat="true" ht="13.5"/>
    <row r="1497" s="96" customFormat="true" ht="13.5"/>
    <row r="1498" s="96" customFormat="true" ht="13.5"/>
    <row r="1499" s="96" customFormat="true" ht="13.5"/>
    <row r="1500" s="96" customFormat="true" ht="13.5"/>
    <row r="1501" s="96" customFormat="true" ht="13.5"/>
    <row r="1502" s="96" customFormat="true" ht="13.5"/>
    <row r="1503" s="96" customFormat="true" ht="13.5"/>
    <row r="1504" s="96" customFormat="true" ht="13.5"/>
    <row r="1505" s="96" customFormat="true" ht="13.5"/>
    <row r="1506" s="96" customFormat="true" ht="13.5"/>
    <row r="1507" s="96" customFormat="true" ht="13.5"/>
    <row r="1508" s="96" customFormat="true" ht="13.5"/>
    <row r="1509" s="96" customFormat="true" ht="13.5"/>
    <row r="1510" s="96" customFormat="true" ht="13.5"/>
    <row r="1511" s="96" customFormat="true" ht="13.5"/>
    <row r="1512" s="96" customFormat="true" ht="13.5"/>
    <row r="1513" s="96" customFormat="true" ht="13.5"/>
    <row r="1514" s="96" customFormat="true" ht="13.5"/>
    <row r="1515" s="96" customFormat="true" ht="13.5"/>
    <row r="1516" s="96" customFormat="true" ht="13.5"/>
    <row r="1517" s="96" customFormat="true" ht="13.5"/>
    <row r="1518" s="96" customFormat="true" ht="13.5"/>
    <row r="1519" s="96" customFormat="true" ht="13.5"/>
    <row r="1520" s="96" customFormat="true" ht="13.5"/>
    <row r="1521" s="96" customFormat="true" ht="13.5"/>
    <row r="1522" s="96" customFormat="true" ht="13.5"/>
    <row r="1523" s="96" customFormat="true" ht="13.5"/>
    <row r="1524" s="96" customFormat="true" ht="13.5"/>
    <row r="1525" s="96" customFormat="true" ht="13.5"/>
    <row r="1526" s="96" customFormat="true" ht="13.5"/>
    <row r="1527" s="96" customFormat="true" ht="13.5"/>
    <row r="1528" s="96" customFormat="true" ht="13.5"/>
    <row r="1529" s="96" customFormat="true" ht="13.5"/>
    <row r="1530" s="96" customFormat="true" ht="13.5"/>
    <row r="1531" s="96" customFormat="true" ht="13.5"/>
    <row r="1532" s="96" customFormat="true" ht="13.5"/>
    <row r="1533" s="96" customFormat="true" ht="13.5"/>
    <row r="1534" s="96" customFormat="true" ht="13.5"/>
    <row r="1535" s="96" customFormat="true" ht="13.5"/>
    <row r="1536" s="96" customFormat="true" ht="13.5"/>
    <row r="1537" s="96" customFormat="true" ht="13.5"/>
    <row r="1538" s="96" customFormat="true" ht="13.5"/>
    <row r="1539" s="96" customFormat="true" ht="13.5"/>
    <row r="1540" s="96" customFormat="true" ht="13.5"/>
    <row r="1541" s="96" customFormat="true" ht="13.5"/>
    <row r="1542" s="96" customFormat="true" ht="13.5"/>
    <row r="1543" s="96" customFormat="true" ht="13.5"/>
    <row r="1544" s="96" customFormat="true" ht="13.5"/>
    <row r="1545" s="96" customFormat="true" ht="13.5"/>
    <row r="1546" s="96" customFormat="true" ht="13.5"/>
    <row r="1547" s="96" customFormat="true" ht="13.5"/>
    <row r="1548" s="96" customFormat="true" ht="13.5"/>
    <row r="1549" s="96" customFormat="true" ht="13.5"/>
    <row r="1550" s="96" customFormat="true" ht="13.5"/>
    <row r="1551" s="96" customFormat="true" ht="13.5"/>
    <row r="1552" s="96" customFormat="true" ht="13.5"/>
    <row r="1553" s="96" customFormat="true" ht="13.5"/>
    <row r="1554" s="96" customFormat="true" ht="13.5"/>
    <row r="1555" s="96" customFormat="true" ht="13.5"/>
    <row r="1556" s="96" customFormat="true" ht="13.5"/>
    <row r="1557" s="96" customFormat="true" ht="13.5"/>
    <row r="1558" s="96" customFormat="true" ht="13.5"/>
    <row r="1559" s="96" customFormat="true" ht="13.5"/>
    <row r="1560" s="96" customFormat="true" ht="13.5"/>
    <row r="1561" s="96" customFormat="true" ht="13.5"/>
    <row r="1562" s="96" customFormat="true" ht="13.5"/>
    <row r="1563" s="96" customFormat="true" ht="13.5"/>
    <row r="1564" s="96" customFormat="true" ht="13.5"/>
    <row r="1565" s="96" customFormat="true" ht="13.5"/>
    <row r="1566" s="96" customFormat="true" ht="13.5"/>
    <row r="1567" s="96" customFormat="true" ht="13.5"/>
    <row r="1568" s="96" customFormat="true" ht="13.5"/>
    <row r="1569" s="96" customFormat="true" ht="13.5"/>
    <row r="1570" s="96" customFormat="true" ht="13.5"/>
    <row r="1571" s="96" customFormat="true" ht="13.5"/>
    <row r="1572" s="96" customFormat="true" ht="13.5"/>
    <row r="1573" s="96" customFormat="true" ht="13.5"/>
    <row r="1574" s="96" customFormat="true" ht="13.5"/>
    <row r="1575" s="96" customFormat="true" ht="13.5"/>
    <row r="1576" s="96" customFormat="true" ht="13.5"/>
    <row r="1577" s="96" customFormat="true" ht="13.5"/>
    <row r="1578" s="96" customFormat="true" ht="13.5"/>
    <row r="1579" s="96" customFormat="true" ht="13.5"/>
    <row r="1580" s="96" customFormat="true" ht="13.5"/>
    <row r="1581" s="96" customFormat="true" ht="13.5"/>
    <row r="1582" s="96" customFormat="true" ht="13.5"/>
    <row r="1583" s="96" customFormat="true" ht="13.5"/>
    <row r="1584" s="96" customFormat="true" ht="13.5"/>
    <row r="1585" s="96" customFormat="true" ht="13.5"/>
    <row r="1586" s="96" customFormat="true" ht="13.5"/>
    <row r="1587" s="96" customFormat="true" ht="13.5"/>
    <row r="1588" s="96" customFormat="true" ht="13.5"/>
    <row r="1589" s="96" customFormat="true" ht="13.5"/>
    <row r="1590" s="96" customFormat="true" ht="13.5"/>
    <row r="1591" s="96" customFormat="true" ht="13.5"/>
    <row r="1592" s="96" customFormat="true" ht="13.5"/>
    <row r="1593" s="96" customFormat="true" ht="13.5"/>
    <row r="1594" s="96" customFormat="true" ht="13.5"/>
    <row r="1595" s="96" customFormat="true" ht="13.5"/>
    <row r="1596" s="96" customFormat="true" ht="13.5"/>
    <row r="1597" s="96" customFormat="true" ht="13.5"/>
    <row r="1598" s="96" customFormat="true" ht="13.5"/>
    <row r="1599" s="96" customFormat="true" ht="13.5"/>
    <row r="1600" s="96" customFormat="true" ht="13.5"/>
    <row r="1601" s="96" customFormat="true" ht="13.5"/>
    <row r="1602" s="96" customFormat="true" ht="13.5"/>
    <row r="1603" s="96" customFormat="true" ht="13.5"/>
    <row r="1604" s="96" customFormat="true" ht="13.5"/>
    <row r="1605" s="96" customFormat="true" ht="13.5"/>
    <row r="1606" s="96" customFormat="true" ht="13.5"/>
    <row r="1607" s="96" customFormat="true" ht="13.5"/>
    <row r="1608" s="96" customFormat="true" ht="13.5"/>
    <row r="1609" s="96" customFormat="true" ht="13.5"/>
    <row r="1610" s="96" customFormat="true" ht="13.5"/>
    <row r="1611" s="96" customFormat="true" ht="13.5"/>
    <row r="1612" s="96" customFormat="true" ht="13.5"/>
    <row r="1613" s="96" customFormat="true" ht="13.5"/>
    <row r="1614" s="96" customFormat="true" ht="13.5"/>
    <row r="1615" s="96" customFormat="true" ht="13.5"/>
    <row r="1616" s="96" customFormat="true" ht="13.5"/>
    <row r="1617" s="96" customFormat="true" ht="13.5"/>
    <row r="1618" s="96" customFormat="true" ht="13.5"/>
    <row r="1619" s="96" customFormat="true" ht="13.5"/>
    <row r="1620" s="96" customFormat="true" ht="13.5"/>
    <row r="1621" s="96" customFormat="true" ht="13.5"/>
    <row r="1622" s="96" customFormat="true" ht="13.5"/>
    <row r="1623" s="96" customFormat="true" ht="13.5"/>
    <row r="1624" s="96" customFormat="true" ht="13.5"/>
    <row r="1625" s="96" customFormat="true" ht="13.5"/>
    <row r="1626" s="96" customFormat="true" ht="13.5"/>
    <row r="1627" s="96" customFormat="true" ht="13.5"/>
    <row r="1628" s="96" customFormat="true" ht="13.5"/>
    <row r="1629" s="96" customFormat="true" ht="13.5"/>
    <row r="1630" s="96" customFormat="true" ht="13.5"/>
    <row r="1631" s="96" customFormat="true" ht="13.5"/>
    <row r="1632" s="96" customFormat="true" ht="13.5"/>
    <row r="1633" s="96" customFormat="true" ht="13.5"/>
    <row r="1634" s="96" customFormat="true" ht="13.5"/>
    <row r="1635" s="96" customFormat="true" ht="13.5"/>
    <row r="1636" s="96" customFormat="true" ht="13.5"/>
    <row r="1637" s="96" customFormat="true" ht="13.5"/>
    <row r="1638" s="96" customFormat="true" ht="13.5"/>
    <row r="1639" s="96" customFormat="true" ht="13.5"/>
    <row r="1640" s="96" customFormat="true" ht="13.5"/>
    <row r="1641" s="96" customFormat="true" ht="13.5"/>
    <row r="1642" s="96" customFormat="true" ht="13.5"/>
    <row r="1643" s="96" customFormat="true" ht="13.5"/>
    <row r="1644" s="96" customFormat="true" ht="13.5"/>
    <row r="1645" s="96" customFormat="true" ht="13.5"/>
    <row r="1646" s="96" customFormat="true" ht="13.5"/>
    <row r="1647" s="96" customFormat="true" ht="13.5"/>
    <row r="1648" s="96" customFormat="true" ht="13.5"/>
    <row r="1649" s="96" customFormat="true" ht="13.5"/>
    <row r="1650" s="96" customFormat="true" ht="13.5"/>
    <row r="1651" s="96" customFormat="true" ht="13.5"/>
    <row r="1652" s="96" customFormat="true" ht="13.5"/>
    <row r="1653" s="96" customFormat="true" ht="13.5"/>
    <row r="1654" s="96" customFormat="true" ht="13.5"/>
    <row r="1655" s="96" customFormat="true" ht="13.5"/>
    <row r="1656" s="96" customFormat="true" ht="13.5"/>
    <row r="1657" s="96" customFormat="true" ht="13.5"/>
    <row r="1658" s="96" customFormat="true" ht="13.5"/>
    <row r="1659" s="96" customFormat="true" ht="13.5"/>
    <row r="1660" s="96" customFormat="true" ht="13.5"/>
    <row r="1661" s="96" customFormat="true" ht="13.5"/>
    <row r="1662" s="96" customFormat="true" ht="13.5"/>
    <row r="1663" s="96" customFormat="true" ht="13.5"/>
    <row r="1664" s="96" customFormat="true" ht="13.5"/>
    <row r="1665" s="96" customFormat="true" ht="13.5"/>
    <row r="1666" s="96" customFormat="true" ht="13.5"/>
    <row r="1667" s="96" customFormat="true" ht="13.5"/>
    <row r="1668" s="96" customFormat="true" ht="13.5"/>
    <row r="1669" s="96" customFormat="true" ht="13.5"/>
    <row r="1670" s="96" customFormat="true" ht="13.5"/>
    <row r="1671" s="96" customFormat="true" ht="13.5"/>
    <row r="1672" s="96" customFormat="true" ht="13.5"/>
    <row r="1673" s="96" customFormat="true" ht="13.5"/>
    <row r="1674" s="96" customFormat="true" ht="13.5"/>
    <row r="1675" s="96" customFormat="true" ht="13.5"/>
    <row r="1676" s="96" customFormat="true" ht="13.5"/>
    <row r="1677" s="96" customFormat="true" ht="13.5"/>
    <row r="1678" s="96" customFormat="true" ht="13.5"/>
    <row r="1679" s="96" customFormat="true" ht="13.5"/>
    <row r="1680" s="96" customFormat="true" ht="13.5"/>
    <row r="1681" s="96" customFormat="true" ht="13.5"/>
    <row r="1682" s="96" customFormat="true" ht="13.5"/>
    <row r="1683" s="96" customFormat="true" ht="13.5"/>
    <row r="1684" s="96" customFormat="true" ht="13.5"/>
    <row r="1685" s="96" customFormat="true" ht="13.5"/>
    <row r="1686" s="96" customFormat="true" ht="13.5"/>
    <row r="1687" s="96" customFormat="true" ht="13.5"/>
    <row r="1688" s="96" customFormat="true" ht="13.5"/>
    <row r="1689" s="96" customFormat="true" ht="13.5"/>
    <row r="1690" s="96" customFormat="true" ht="13.5"/>
    <row r="1691" s="96" customFormat="true" ht="13.5"/>
    <row r="1692" s="96" customFormat="true" ht="13.5"/>
    <row r="1693" s="96" customFormat="true" ht="13.5"/>
    <row r="1694" s="96" customFormat="true" ht="13.5"/>
    <row r="1695" s="96" customFormat="true" ht="13.5"/>
    <row r="1696" s="96" customFormat="true" ht="13.5"/>
    <row r="1697" s="96" customFormat="true" ht="13.5"/>
    <row r="1698" s="96" customFormat="true" ht="13.5"/>
    <row r="1699" s="96" customFormat="true" ht="13.5"/>
    <row r="1700" s="96" customFormat="true" ht="13.5"/>
    <row r="1701" s="96" customFormat="true" ht="13.5"/>
    <row r="1702" s="96" customFormat="true" ht="13.5"/>
    <row r="1703" s="96" customFormat="true" ht="13.5"/>
    <row r="1704" s="96" customFormat="true" ht="13.5"/>
    <row r="1705" s="96" customFormat="true" ht="13.5"/>
    <row r="1706" s="96" customFormat="true" ht="13.5"/>
    <row r="1707" s="96" customFormat="true" ht="13.5"/>
    <row r="1708" s="96" customFormat="true" ht="13.5"/>
    <row r="1709" s="96" customFormat="true" ht="13.5"/>
    <row r="1710" s="96" customFormat="true" ht="13.5"/>
    <row r="1711" s="96" customFormat="true" ht="13.5"/>
    <row r="1712" s="96" customFormat="true" ht="13.5"/>
    <row r="1713" s="96" customFormat="true" ht="13.5"/>
    <row r="1714" s="96" customFormat="true" ht="13.5"/>
    <row r="1715" s="96" customFormat="true" ht="13.5"/>
    <row r="1716" s="96" customFormat="true" ht="13.5"/>
    <row r="1717" s="96" customFormat="true" ht="13.5"/>
    <row r="1718" s="96" customFormat="true" ht="13.5"/>
    <row r="1719" s="96" customFormat="true" ht="13.5"/>
    <row r="1720" s="96" customFormat="true" ht="13.5"/>
    <row r="1721" s="96" customFormat="true" ht="13.5"/>
    <row r="1722" s="96" customFormat="true" ht="13.5"/>
    <row r="1723" s="96" customFormat="true" ht="13.5"/>
    <row r="1724" s="96" customFormat="true" ht="13.5"/>
    <row r="1725" s="96" customFormat="true" ht="13.5"/>
    <row r="1726" s="96" customFormat="true" ht="13.5"/>
    <row r="1727" s="96" customFormat="true" ht="13.5"/>
    <row r="1728" s="96" customFormat="true" ht="13.5"/>
    <row r="1729" s="96" customFormat="true" ht="13.5"/>
    <row r="1730" s="96" customFormat="true" ht="13.5"/>
    <row r="1731" s="96" customFormat="true" ht="13.5"/>
    <row r="1732" s="96" customFormat="true" ht="13.5"/>
    <row r="1733" s="96" customFormat="true" ht="13.5"/>
    <row r="1734" s="96" customFormat="true" ht="13.5"/>
    <row r="1735" s="96" customFormat="true" ht="13.5"/>
    <row r="1736" s="96" customFormat="true" ht="13.5"/>
    <row r="1737" s="96" customFormat="true" ht="13.5"/>
    <row r="1738" s="96" customFormat="true" ht="13.5"/>
    <row r="1739" s="96" customFormat="true" ht="13.5"/>
    <row r="1740" s="96" customFormat="true" ht="13.5"/>
    <row r="1741" s="96" customFormat="true" ht="13.5"/>
    <row r="1742" s="96" customFormat="true" ht="13.5"/>
    <row r="1743" s="96" customFormat="true" ht="13.5"/>
    <row r="1744" s="96" customFormat="true" ht="13.5"/>
    <row r="1745" s="96" customFormat="true" ht="13.5"/>
    <row r="1746" s="96" customFormat="true" ht="13.5"/>
    <row r="1747" s="96" customFormat="true" ht="13.5"/>
    <row r="1748" s="96" customFormat="true" ht="13.5"/>
    <row r="1749" s="96" customFormat="true" ht="13.5"/>
    <row r="1750" s="96" customFormat="true" ht="13.5"/>
    <row r="1751" s="96" customFormat="true" ht="13.5"/>
    <row r="1752" s="96" customFormat="true" ht="13.5"/>
    <row r="1753" s="96" customFormat="true" ht="13.5"/>
    <row r="1754" s="96" customFormat="true" ht="13.5"/>
    <row r="1755" s="96" customFormat="true" ht="13.5"/>
    <row r="1756" s="96" customFormat="true" ht="13.5"/>
    <row r="1757" s="96" customFormat="true" ht="13.5"/>
    <row r="1758" s="96" customFormat="true" ht="13.5"/>
    <row r="1759" s="96" customFormat="true" ht="13.5"/>
    <row r="1760" s="96" customFormat="true" ht="13.5"/>
    <row r="1761" s="96" customFormat="true" ht="13.5"/>
    <row r="1762" s="96" customFormat="true" ht="13.5"/>
    <row r="1763" s="96" customFormat="true" ht="13.5"/>
    <row r="1764" s="96" customFormat="true" ht="13.5"/>
    <row r="1765" s="96" customFormat="true" ht="13.5"/>
    <row r="1766" s="96" customFormat="true" ht="13.5"/>
    <row r="1767" s="96" customFormat="true" ht="13.5"/>
    <row r="1768" s="96" customFormat="true" ht="13.5"/>
    <row r="1769" s="96" customFormat="true" ht="13.5"/>
    <row r="1770" s="96" customFormat="true" ht="13.5"/>
    <row r="1771" s="96" customFormat="true" ht="13.5"/>
    <row r="1772" s="96" customFormat="true" ht="13.5"/>
    <row r="1773" s="96" customFormat="true" ht="13.5"/>
    <row r="1774" s="96" customFormat="true" ht="13.5"/>
    <row r="1775" s="96" customFormat="true" ht="13.5"/>
    <row r="1776" s="96" customFormat="true" ht="13.5"/>
    <row r="1777" s="96" customFormat="true" ht="13.5"/>
    <row r="1778" s="96" customFormat="true" ht="13.5"/>
    <row r="1779" s="96" customFormat="true" ht="13.5"/>
    <row r="1780" s="96" customFormat="true" ht="13.5"/>
    <row r="1781" s="96" customFormat="true" ht="13.5"/>
    <row r="1782" s="96" customFormat="true" ht="13.5"/>
    <row r="1783" s="96" customFormat="true" ht="13.5"/>
    <row r="1784" s="96" customFormat="true" ht="13.5"/>
    <row r="1785" s="96" customFormat="true" ht="13.5"/>
    <row r="1786" s="96" customFormat="true" ht="13.5"/>
    <row r="1787" s="96" customFormat="true" ht="13.5"/>
    <row r="1788" s="96" customFormat="true" ht="13.5"/>
    <row r="1789" s="96" customFormat="true" ht="13.5"/>
    <row r="1790" s="96" customFormat="true" ht="13.5"/>
    <row r="1791" s="96" customFormat="true" ht="13.5"/>
    <row r="1792" s="96" customFormat="true" ht="13.5"/>
    <row r="1793" s="96" customFormat="true" ht="13.5"/>
    <row r="1794" s="96" customFormat="true" ht="13.5"/>
    <row r="1795" s="96" customFormat="true" ht="13.5"/>
    <row r="1796" s="96" customFormat="true" ht="13.5"/>
    <row r="1797" s="96" customFormat="true" ht="13.5"/>
    <row r="1798" s="96" customFormat="true" ht="13.5"/>
    <row r="1799" s="96" customFormat="true" ht="13.5"/>
    <row r="1800" s="96" customFormat="true" ht="13.5"/>
    <row r="1801" s="96" customFormat="true" ht="13.5"/>
    <row r="1802" s="96" customFormat="true" ht="13.5"/>
    <row r="1803" s="96" customFormat="true" ht="13.5"/>
    <row r="1804" s="96" customFormat="true" ht="13.5"/>
    <row r="1805" s="96" customFormat="true" ht="13.5"/>
    <row r="1806" s="96" customFormat="true" ht="13.5"/>
    <row r="1807" s="96" customFormat="true" ht="13.5"/>
    <row r="1808" s="96" customFormat="true" ht="13.5"/>
    <row r="1809" s="96" customFormat="true" ht="13.5"/>
    <row r="1810" s="96" customFormat="true" ht="13.5"/>
    <row r="1811" s="96" customFormat="true" ht="13.5"/>
    <row r="1812" s="96" customFormat="true" ht="13.5"/>
    <row r="1813" s="96" customFormat="true" ht="13.5"/>
    <row r="1814" s="96" customFormat="true" ht="13.5"/>
    <row r="1815" s="96" customFormat="true" ht="13.5"/>
    <row r="1816" s="96" customFormat="true" ht="13.5"/>
    <row r="1817" s="96" customFormat="true" ht="13.5"/>
    <row r="1818" s="96" customFormat="true" ht="13.5"/>
    <row r="1819" s="96" customFormat="true" ht="13.5"/>
    <row r="1820" s="96" customFormat="true" ht="13.5"/>
    <row r="1821" s="96" customFormat="true" ht="13.5"/>
    <row r="1822" s="96" customFormat="true" ht="13.5"/>
    <row r="1823" s="96" customFormat="true" ht="13.5"/>
    <row r="1824" s="96" customFormat="true" ht="13.5"/>
    <row r="1825" s="96" customFormat="true" ht="13.5"/>
    <row r="1826" s="96" customFormat="true" ht="13.5"/>
    <row r="1827" s="96" customFormat="true" ht="13.5"/>
    <row r="1828" s="96" customFormat="true" ht="13.5"/>
    <row r="1829" s="96" customFormat="true" ht="13.5"/>
    <row r="1830" s="96" customFormat="true" ht="13.5"/>
    <row r="1831" s="96" customFormat="true" ht="13.5"/>
    <row r="1832" s="96" customFormat="true" ht="13.5"/>
    <row r="1833" s="96" customFormat="true" ht="13.5"/>
    <row r="1834" s="96" customFormat="true" ht="13.5"/>
    <row r="1835" s="96" customFormat="true" ht="13.5"/>
    <row r="1836" s="96" customFormat="true" ht="13.5"/>
    <row r="1837" s="96" customFormat="true" ht="13.5"/>
    <row r="1838" s="96" customFormat="true" ht="13.5"/>
    <row r="1839" s="96" customFormat="true" ht="13.5"/>
    <row r="1840" s="96" customFormat="true" ht="13.5"/>
    <row r="1841" s="96" customFormat="true" ht="13.5"/>
    <row r="1842" s="96" customFormat="true" ht="13.5"/>
    <row r="1843" s="96" customFormat="true" ht="13.5"/>
    <row r="1844" s="96" customFormat="true" ht="13.5"/>
    <row r="1845" s="96" customFormat="true" ht="13.5"/>
    <row r="1846" s="96" customFormat="true" ht="13.5"/>
    <row r="1847" s="96" customFormat="true" ht="13.5"/>
    <row r="1848" s="96" customFormat="true" ht="13.5"/>
    <row r="1849" s="96" customFormat="true" ht="13.5"/>
    <row r="1850" s="96" customFormat="true" ht="13.5"/>
    <row r="1851" s="96" customFormat="true" ht="13.5"/>
    <row r="1852" s="96" customFormat="true" ht="13.5"/>
    <row r="1853" s="96" customFormat="true" ht="13.5"/>
    <row r="1854" s="96" customFormat="true" ht="13.5"/>
    <row r="1855" s="96" customFormat="true" ht="13.5"/>
    <row r="1856" s="96" customFormat="true" ht="13.5"/>
    <row r="1857" s="96" customFormat="true" ht="13.5"/>
    <row r="1858" s="96" customFormat="true" ht="13.5"/>
    <row r="1859" s="96" customFormat="true" ht="13.5"/>
    <row r="1860" s="96" customFormat="true" ht="13.5"/>
    <row r="1861" s="96" customFormat="true" ht="13.5"/>
    <row r="1862" s="96" customFormat="true" ht="13.5"/>
    <row r="1863" s="96" customFormat="true" ht="13.5"/>
    <row r="1864" s="96" customFormat="true" ht="13.5"/>
    <row r="1865" s="96" customFormat="true" ht="13.5"/>
    <row r="1866" s="96" customFormat="true" ht="13.5"/>
    <row r="1867" s="96" customFormat="true" ht="13.5"/>
    <row r="1868" s="96" customFormat="true" ht="13.5"/>
    <row r="1869" s="96" customFormat="true" ht="13.5"/>
    <row r="1870" s="96" customFormat="true" ht="13.5"/>
    <row r="1871" s="96" customFormat="true" ht="13.5"/>
    <row r="1872" s="96" customFormat="true" ht="13.5"/>
    <row r="1873" s="96" customFormat="true" ht="13.5"/>
    <row r="1874" s="96" customFormat="true" ht="13.5"/>
    <row r="1875" s="96" customFormat="true" ht="13.5"/>
    <row r="1876" s="96" customFormat="true" ht="13.5"/>
    <row r="1877" s="96" customFormat="true" ht="13.5"/>
    <row r="1878" s="96" customFormat="true" ht="13.5"/>
    <row r="1879" s="96" customFormat="true" ht="13.5"/>
    <row r="1880" s="96" customFormat="true" ht="13.5"/>
    <row r="1881" s="96" customFormat="true" ht="13.5"/>
    <row r="1882" s="96" customFormat="true" ht="13.5"/>
    <row r="1883" s="96" customFormat="true" ht="13.5"/>
    <row r="1884" s="96" customFormat="true" ht="13.5"/>
    <row r="1885" s="96" customFormat="true" ht="13.5"/>
    <row r="1886" s="96" customFormat="true" ht="13.5"/>
    <row r="1887" s="96" customFormat="true" ht="13.5"/>
    <row r="1888" s="96" customFormat="true" ht="13.5"/>
    <row r="1889" s="96" customFormat="true" ht="13.5"/>
    <row r="1890" s="96" customFormat="true" ht="13.5"/>
    <row r="1891" s="96" customFormat="true" ht="13.5"/>
    <row r="1892" s="96" customFormat="true" ht="13.5"/>
    <row r="1893" s="96" customFormat="true" ht="13.5"/>
    <row r="1894" s="96" customFormat="true" ht="13.5"/>
    <row r="1895" s="96" customFormat="true" ht="13.5"/>
    <row r="1896" s="96" customFormat="true" ht="13.5"/>
    <row r="1897" s="96" customFormat="true" ht="13.5"/>
    <row r="1898" s="96" customFormat="true" ht="13.5"/>
    <row r="1899" s="96" customFormat="true" ht="13.5"/>
    <row r="1900" s="96" customFormat="true" ht="13.5"/>
    <row r="1901" s="96" customFormat="true" ht="13.5"/>
    <row r="1902" s="96" customFormat="true" ht="13.5"/>
    <row r="1903" s="96" customFormat="true" ht="13.5"/>
    <row r="1904" s="96" customFormat="true" ht="13.5"/>
    <row r="1905" s="96" customFormat="true" ht="13.5"/>
    <row r="1906" s="96" customFormat="true" ht="13.5"/>
    <row r="1907" s="96" customFormat="true" ht="13.5"/>
    <row r="1908" s="96" customFormat="true" ht="13.5"/>
    <row r="1909" s="96" customFormat="true" ht="13.5"/>
    <row r="1910" s="96" customFormat="true" ht="13.5"/>
    <row r="1911" s="96" customFormat="true" ht="13.5"/>
    <row r="1912" s="96" customFormat="true" ht="13.5"/>
    <row r="1913" s="96" customFormat="true" ht="13.5"/>
    <row r="1914" s="96" customFormat="true" ht="13.5"/>
    <row r="1915" s="96" customFormat="true" ht="13.5"/>
    <row r="1916" s="96" customFormat="true" ht="13.5"/>
    <row r="1917" s="96" customFormat="true" ht="13.5"/>
    <row r="1918" s="96" customFormat="true" ht="13.5"/>
    <row r="1919" s="96" customFormat="true" ht="13.5"/>
    <row r="1920" s="96" customFormat="true" ht="13.5"/>
    <row r="1921" s="96" customFormat="true" ht="13.5"/>
    <row r="1922" s="96" customFormat="true" ht="13.5"/>
    <row r="1923" s="96" customFormat="true" ht="13.5"/>
    <row r="1924" s="96" customFormat="true" ht="13.5"/>
    <row r="1925" s="96" customFormat="true" ht="13.5"/>
    <row r="1926" s="96" customFormat="true" ht="13.5"/>
    <row r="1927" s="96" customFormat="true" ht="13.5"/>
    <row r="1928" s="96" customFormat="true" ht="13.5"/>
    <row r="1929" s="96" customFormat="true" ht="13.5"/>
    <row r="1930" s="96" customFormat="true" ht="13.5"/>
    <row r="1931" s="96" customFormat="true" ht="13.5"/>
    <row r="1932" s="96" customFormat="true" ht="13.5"/>
    <row r="1933" s="96" customFormat="true" ht="13.5"/>
    <row r="1934" s="96" customFormat="true" ht="13.5"/>
    <row r="1935" s="96" customFormat="true" ht="13.5"/>
    <row r="1936" s="96" customFormat="true" ht="13.5"/>
    <row r="1937" s="96" customFormat="true" ht="13.5"/>
    <row r="1938" s="96" customFormat="true" ht="13.5"/>
    <row r="1939" s="96" customFormat="true" ht="13.5"/>
    <row r="1940" s="96" customFormat="true" ht="13.5"/>
    <row r="1941" s="96" customFormat="true" ht="13.5"/>
    <row r="1942" s="96" customFormat="true" ht="13.5"/>
    <row r="1943" s="96" customFormat="true" ht="13.5"/>
    <row r="1944" s="96" customFormat="true" ht="13.5"/>
    <row r="1945" s="96" customFormat="true" ht="13.5"/>
    <row r="1946" s="96" customFormat="true" ht="13.5"/>
    <row r="1947" s="96" customFormat="true" ht="13.5"/>
    <row r="1948" s="96" customFormat="true" ht="13.5"/>
    <row r="1949" s="96" customFormat="true" ht="13.5"/>
    <row r="1950" s="96" customFormat="true" ht="13.5"/>
    <row r="1951" s="96" customFormat="true" ht="13.5"/>
    <row r="1952" s="96" customFormat="true" ht="13.5"/>
    <row r="1953" s="96" customFormat="true" ht="13.5"/>
    <row r="1954" s="96" customFormat="true" ht="13.5"/>
    <row r="1955" s="96" customFormat="true" ht="13.5"/>
    <row r="1956" s="96" customFormat="true" ht="13.5"/>
    <row r="1957" s="96" customFormat="true" ht="13.5"/>
    <row r="1958" s="96" customFormat="true" ht="13.5"/>
    <row r="1959" s="96" customFormat="true" ht="13.5"/>
    <row r="1960" s="96" customFormat="true" ht="13.5"/>
    <row r="1961" s="96" customFormat="true" ht="13.5"/>
    <row r="1962" s="96" customFormat="true" ht="13.5"/>
    <row r="1963" s="96" customFormat="true" ht="13.5"/>
    <row r="1964" s="96" customFormat="true" ht="13.5"/>
    <row r="1965" s="96" customFormat="true" ht="13.5"/>
    <row r="1966" s="96" customFormat="true" ht="13.5"/>
    <row r="1967" s="96" customFormat="true" ht="13.5"/>
    <row r="1968" s="96" customFormat="true" ht="13.5"/>
    <row r="1969" s="96" customFormat="true" ht="13.5"/>
    <row r="1970" s="96" customFormat="true" ht="13.5"/>
    <row r="1971" s="96" customFormat="true" ht="13.5"/>
    <row r="1972" s="96" customFormat="true" ht="13.5"/>
    <row r="1973" s="96" customFormat="true" ht="13.5"/>
    <row r="1974" s="96" customFormat="true" ht="13.5"/>
    <row r="1975" s="96" customFormat="true" ht="13.5"/>
    <row r="1976" s="96" customFormat="true" ht="13.5"/>
    <row r="1977" s="96" customFormat="true" ht="13.5"/>
    <row r="1978" s="96" customFormat="true" ht="13.5"/>
    <row r="1979" s="96" customFormat="true" ht="13.5"/>
    <row r="1980" s="96" customFormat="true" ht="13.5"/>
    <row r="1981" s="96" customFormat="true" ht="13.5"/>
    <row r="1982" s="96" customFormat="true" ht="13.5"/>
    <row r="1983" s="96" customFormat="true" ht="13.5"/>
    <row r="1984" s="96" customFormat="true" ht="13.5"/>
    <row r="1985" s="96" customFormat="true" ht="13.5"/>
    <row r="1986" s="96" customFormat="true" ht="13.5"/>
    <row r="1987" s="96" customFormat="true" ht="13.5"/>
    <row r="1988" s="96" customFormat="true" ht="13.5"/>
    <row r="1989" s="96" customFormat="true" ht="13.5"/>
    <row r="1990" s="96" customFormat="true" ht="13.5"/>
    <row r="1991" s="96" customFormat="true" ht="13.5"/>
    <row r="1992" s="96" customFormat="true" ht="13.5"/>
    <row r="1993" s="96" customFormat="true" ht="13.5"/>
    <row r="1994" s="96" customFormat="true" ht="13.5"/>
    <row r="1995" s="96" customFormat="true" ht="13.5"/>
    <row r="1996" s="96" customFormat="true" ht="13.5"/>
    <row r="1997" s="96" customFormat="true" ht="13.5"/>
    <row r="1998" s="96" customFormat="true" ht="13.5"/>
    <row r="1999" s="96" customFormat="true" ht="13.5"/>
    <row r="2000" s="96" customFormat="true" ht="13.5"/>
    <row r="2001" s="96" customFormat="true" ht="13.5"/>
    <row r="2002" s="96" customFormat="true" ht="13.5"/>
    <row r="2003" s="96" customFormat="true" ht="13.5"/>
    <row r="2004" s="96" customFormat="true" ht="13.5"/>
    <row r="2005" s="96" customFormat="true" ht="13.5"/>
    <row r="2006" s="96" customFormat="true" ht="13.5"/>
    <row r="2007" s="96" customFormat="true" ht="13.5"/>
    <row r="2008" s="96" customFormat="true" ht="13.5"/>
    <row r="2009" s="96" customFormat="true" ht="13.5"/>
    <row r="2010" s="96" customFormat="true" ht="13.5"/>
    <row r="2011" s="96" customFormat="true" ht="13.5"/>
    <row r="2012" s="96" customFormat="true" ht="13.5"/>
    <row r="2013" s="96" customFormat="true" ht="13.5"/>
    <row r="2014" s="96" customFormat="true" ht="13.5"/>
    <row r="2015" s="96" customFormat="true" ht="13.5"/>
    <row r="2016" s="96" customFormat="true" ht="13.5"/>
    <row r="2017" s="96" customFormat="true" ht="13.5"/>
    <row r="2018" s="96" customFormat="true" ht="13.5"/>
    <row r="2019" s="96" customFormat="true" ht="13.5"/>
    <row r="2020" s="96" customFormat="true" ht="13.5"/>
    <row r="2021" s="96" customFormat="true" ht="13.5"/>
    <row r="2022" s="96" customFormat="true" ht="13.5"/>
    <row r="2023" s="96" customFormat="true" ht="13.5"/>
    <row r="2024" s="96" customFormat="true" ht="13.5"/>
    <row r="2025" s="96" customFormat="true" ht="13.5"/>
    <row r="2026" s="96" customFormat="true" ht="13.5"/>
    <row r="2027" s="96" customFormat="true" ht="13.5"/>
    <row r="2028" s="96" customFormat="true" ht="13.5"/>
    <row r="2029" s="96" customFormat="true" ht="13.5"/>
    <row r="2030" s="96" customFormat="true" ht="13.5"/>
    <row r="2031" s="96" customFormat="true" ht="13.5"/>
    <row r="2032" s="96" customFormat="true" ht="13.5"/>
    <row r="2033" s="96" customFormat="true" ht="13.5"/>
    <row r="2034" s="96" customFormat="true" ht="13.5"/>
    <row r="2035" s="96" customFormat="true" ht="13.5"/>
    <row r="2036" s="96" customFormat="true" ht="13.5"/>
    <row r="2037" s="96" customFormat="true" ht="13.5"/>
    <row r="2038" s="96" customFormat="true" ht="13.5"/>
    <row r="2039" s="96" customFormat="true" ht="13.5"/>
    <row r="2040" s="96" customFormat="true" ht="13.5"/>
    <row r="2041" s="96" customFormat="true" ht="13.5"/>
    <row r="2042" s="96" customFormat="true" ht="13.5"/>
    <row r="2043" s="96" customFormat="true" ht="13.5"/>
    <row r="2044" s="96" customFormat="true" ht="13.5"/>
    <row r="2045" s="96" customFormat="true" ht="13.5"/>
    <row r="2046" s="96" customFormat="true" ht="13.5"/>
    <row r="2047" s="96" customFormat="true" ht="13.5"/>
    <row r="2048" s="96" customFormat="true" ht="13.5"/>
    <row r="2049" s="96" customFormat="true" ht="13.5"/>
    <row r="2050" s="96" customFormat="true" ht="13.5"/>
    <row r="2051" s="96" customFormat="true" ht="13.5"/>
    <row r="2052" s="96" customFormat="true" ht="13.5"/>
    <row r="2053" s="96" customFormat="true" ht="13.5"/>
    <row r="2054" s="96" customFormat="true" ht="13.5"/>
    <row r="2055" s="96" customFormat="true" ht="13.5"/>
    <row r="2056" s="96" customFormat="true" ht="13.5"/>
    <row r="2057" s="96" customFormat="true" ht="13.5"/>
    <row r="2058" s="96" customFormat="true" ht="13.5"/>
    <row r="2059" s="96" customFormat="true" ht="13.5"/>
    <row r="2060" s="96" customFormat="true" ht="13.5"/>
    <row r="2061" s="96" customFormat="true" ht="13.5"/>
    <row r="2062" s="96" customFormat="true" ht="13.5"/>
    <row r="2063" s="96" customFormat="true" ht="13.5"/>
    <row r="2064" s="96" customFormat="true" ht="13.5"/>
    <row r="2065" s="96" customFormat="true" ht="13.5"/>
    <row r="2066" s="96" customFormat="true" ht="13.5"/>
    <row r="2067" s="96" customFormat="true" ht="13.5"/>
    <row r="2068" s="96" customFormat="true" ht="13.5"/>
    <row r="2069" s="96" customFormat="true" ht="13.5"/>
    <row r="2070" s="96" customFormat="true" ht="13.5"/>
    <row r="2071" s="96" customFormat="true" ht="13.5"/>
    <row r="2072" s="96" customFormat="true" ht="13.5"/>
    <row r="2073" s="96" customFormat="true" ht="13.5"/>
    <row r="2074" s="96" customFormat="true" ht="13.5"/>
    <row r="2075" s="96" customFormat="true" ht="13.5"/>
    <row r="2076" s="96" customFormat="true" ht="13.5"/>
    <row r="2077" s="96" customFormat="true" ht="13.5"/>
    <row r="2078" s="96" customFormat="true" ht="13.5"/>
    <row r="2079" s="96" customFormat="true" ht="13.5"/>
    <row r="2080" s="96" customFormat="true" ht="13.5"/>
    <row r="2081" s="96" customFormat="true" ht="13.5"/>
    <row r="2082" s="96" customFormat="true" ht="13.5"/>
    <row r="2083" s="96" customFormat="true" ht="13.5"/>
    <row r="2084" s="96" customFormat="true" ht="13.5"/>
    <row r="2085" s="96" customFormat="true" ht="13.5"/>
    <row r="2086" s="96" customFormat="true" ht="13.5"/>
    <row r="2087" s="96" customFormat="true" ht="13.5"/>
    <row r="2088" s="96" customFormat="true" ht="13.5"/>
    <row r="2089" s="96" customFormat="true" ht="13.5"/>
    <row r="2090" s="96" customFormat="true" ht="13.5"/>
    <row r="2091" s="96" customFormat="true" ht="13.5"/>
    <row r="2092" s="96" customFormat="true" ht="13.5"/>
    <row r="2093" s="96" customFormat="true" ht="13.5"/>
    <row r="2094" s="96" customFormat="true" ht="13.5"/>
    <row r="2095" s="96" customFormat="true" ht="13.5"/>
    <row r="2096" s="96" customFormat="true" ht="13.5"/>
    <row r="2097" s="96" customFormat="true" ht="13.5"/>
    <row r="2098" s="96" customFormat="true" ht="13.5"/>
    <row r="2099" s="96" customFormat="true" ht="13.5"/>
    <row r="2100" s="96" customFormat="true" ht="13.5"/>
    <row r="2101" s="96" customFormat="true" ht="13.5"/>
    <row r="2102" s="96" customFormat="true" ht="13.5"/>
    <row r="2103" s="96" customFormat="true" ht="13.5"/>
    <row r="2104" s="96" customFormat="true" ht="13.5"/>
    <row r="2105" s="96" customFormat="true" ht="13.5"/>
    <row r="2106" s="96" customFormat="true" ht="13.5"/>
    <row r="2107" s="96" customFormat="true" ht="13.5"/>
    <row r="2108" s="96" customFormat="true" ht="13.5"/>
    <row r="2109" s="96" customFormat="true" ht="13.5"/>
    <row r="2110" s="96" customFormat="true" ht="13.5"/>
    <row r="2111" s="96" customFormat="true" ht="13.5"/>
    <row r="2112" s="96" customFormat="true" ht="13.5"/>
    <row r="2113" s="96" customFormat="true" ht="13.5"/>
    <row r="2114" s="96" customFormat="true" ht="13.5"/>
    <row r="2115" s="96" customFormat="true" ht="13.5"/>
    <row r="2116" s="96" customFormat="true" ht="13.5"/>
    <row r="2117" s="96" customFormat="true" ht="13.5"/>
    <row r="2118" s="96" customFormat="true" ht="13.5"/>
    <row r="2119" s="96" customFormat="true" ht="13.5"/>
    <row r="2120" s="96" customFormat="true" ht="13.5"/>
    <row r="2121" s="96" customFormat="true" ht="13.5"/>
    <row r="2122" s="96" customFormat="true" ht="13.5"/>
    <row r="2123" s="96" customFormat="true" ht="13.5"/>
    <row r="2124" s="96" customFormat="true" ht="13.5"/>
    <row r="2125" s="96" customFormat="true" ht="13.5"/>
    <row r="2126" s="96" customFormat="true" ht="13.5"/>
    <row r="2127" s="96" customFormat="true" ht="13.5"/>
    <row r="2128" s="96" customFormat="true" ht="13.5"/>
    <row r="2129" s="96" customFormat="true" ht="13.5"/>
    <row r="2130" s="96" customFormat="true" ht="13.5"/>
    <row r="2131" s="96" customFormat="true" ht="13.5"/>
    <row r="2132" s="96" customFormat="true" ht="13.5"/>
    <row r="2133" s="96" customFormat="true" ht="13.5"/>
    <row r="2134" s="96" customFormat="true" ht="13.5"/>
    <row r="2135" s="96" customFormat="true" ht="13.5"/>
    <row r="2136" s="96" customFormat="true" ht="13.5"/>
    <row r="2137" s="96" customFormat="true" ht="13.5"/>
    <row r="2138" s="96" customFormat="true" ht="13.5"/>
    <row r="2139" s="96" customFormat="true" ht="13.5"/>
    <row r="2140" s="96" customFormat="true" ht="13.5"/>
    <row r="2141" s="96" customFormat="true" ht="13.5"/>
    <row r="2142" s="96" customFormat="true" ht="13.5"/>
    <row r="2143" s="96" customFormat="true" ht="13.5"/>
    <row r="2144" s="96" customFormat="true" ht="13.5"/>
    <row r="2145" s="96" customFormat="true" ht="13.5"/>
    <row r="2146" s="96" customFormat="true" ht="13.5"/>
    <row r="2147" s="96" customFormat="true" ht="13.5"/>
    <row r="2148" s="96" customFormat="true" ht="13.5"/>
    <row r="2149" s="96" customFormat="true" ht="13.5"/>
    <row r="2150" s="96" customFormat="true" ht="13.5"/>
    <row r="2151" s="96" customFormat="true" ht="13.5"/>
    <row r="2152" s="96" customFormat="true" ht="13.5"/>
    <row r="2153" s="96" customFormat="true" ht="13.5"/>
    <row r="2154" s="96" customFormat="true" ht="13.5"/>
    <row r="2155" s="96" customFormat="true" ht="13.5"/>
    <row r="2156" s="96" customFormat="true" ht="13.5"/>
    <row r="2157" s="96" customFormat="true" ht="13.5"/>
    <row r="2158" s="96" customFormat="true" ht="13.5"/>
    <row r="2159" s="96" customFormat="true" ht="13.5"/>
    <row r="2160" s="96" customFormat="true" ht="13.5"/>
    <row r="2161" s="96" customFormat="true" ht="13.5"/>
    <row r="2162" s="96" customFormat="true" ht="13.5"/>
    <row r="2163" s="96" customFormat="true" ht="13.5"/>
    <row r="2164" s="96" customFormat="true" ht="13.5"/>
    <row r="2165" s="96" customFormat="true" ht="13.5"/>
    <row r="2166" s="96" customFormat="true" ht="13.5"/>
    <row r="2167" s="96" customFormat="true" ht="13.5"/>
    <row r="2168" s="96" customFormat="true" ht="13.5"/>
    <row r="2169" s="96" customFormat="true" ht="13.5"/>
    <row r="2170" s="96" customFormat="true" ht="13.5"/>
    <row r="2171" s="96" customFormat="true" ht="13.5"/>
    <row r="2172" s="96" customFormat="true" ht="13.5"/>
    <row r="2173" s="96" customFormat="true" ht="13.5"/>
    <row r="2174" s="96" customFormat="true" ht="13.5"/>
    <row r="2175" s="96" customFormat="true" ht="13.5"/>
    <row r="2176" s="96" customFormat="true" ht="13.5"/>
    <row r="2177" s="96" customFormat="true" ht="13.5"/>
    <row r="2178" s="96" customFormat="true" ht="13.5"/>
    <row r="2179" s="96" customFormat="true" ht="13.5"/>
    <row r="2180" s="96" customFormat="true" ht="13.5"/>
    <row r="2181" s="96" customFormat="true" ht="13.5"/>
    <row r="2182" s="96" customFormat="true" ht="13.5"/>
    <row r="2183" s="96" customFormat="true" ht="13.5"/>
    <row r="2184" s="96" customFormat="true" ht="13.5"/>
    <row r="2185" s="96" customFormat="true" ht="13.5"/>
    <row r="2186" s="96" customFormat="true" ht="13.5"/>
    <row r="2187" s="96" customFormat="true" ht="13.5"/>
    <row r="2188" s="96" customFormat="true" ht="13.5"/>
    <row r="2189" s="96" customFormat="true" ht="13.5"/>
    <row r="2190" s="96" customFormat="true" ht="13.5"/>
    <row r="2191" s="96" customFormat="true" ht="13.5"/>
    <row r="2192" s="96" customFormat="true" ht="13.5"/>
    <row r="2193" s="96" customFormat="true" ht="13.5"/>
    <row r="2194" s="96" customFormat="true" ht="13.5"/>
    <row r="2195" s="96" customFormat="true" ht="13.5"/>
    <row r="2196" s="96" customFormat="true" ht="13.5"/>
    <row r="2197" s="96" customFormat="true" ht="13.5"/>
    <row r="2198" s="96" customFormat="true" ht="13.5"/>
    <row r="2199" s="96" customFormat="true" ht="13.5"/>
    <row r="2200" s="96" customFormat="true" ht="13.5"/>
    <row r="2201" s="96" customFormat="true" ht="13.5"/>
    <row r="2202" s="96" customFormat="true" ht="13.5"/>
    <row r="2203" s="96" customFormat="true" ht="13.5"/>
    <row r="2204" s="96" customFormat="true" ht="13.5"/>
    <row r="2205" s="96" customFormat="true" ht="13.5"/>
    <row r="2206" s="96" customFormat="true" ht="13.5"/>
    <row r="2207" s="96" customFormat="true" ht="13.5"/>
    <row r="2208" s="96" customFormat="true" ht="13.5"/>
    <row r="2209" s="96" customFormat="true" ht="13.5"/>
    <row r="2210" s="96" customFormat="true" ht="13.5"/>
    <row r="2211" s="96" customFormat="true" ht="13.5"/>
    <row r="2212" s="96" customFormat="true" ht="13.5"/>
    <row r="2213" s="96" customFormat="true" ht="13.5"/>
    <row r="2214" s="96" customFormat="true" ht="13.5"/>
    <row r="2215" s="96" customFormat="true" ht="13.5"/>
    <row r="2216" s="96" customFormat="true" ht="13.5"/>
    <row r="2217" s="96" customFormat="true" ht="13.5"/>
    <row r="2218" s="96" customFormat="true" ht="13.5"/>
    <row r="2219" s="96" customFormat="true" ht="13.5"/>
    <row r="2220" s="96" customFormat="true" ht="13.5"/>
    <row r="2221" s="96" customFormat="true" ht="13.5"/>
    <row r="2222" s="96" customFormat="true" ht="13.5"/>
    <row r="2223" s="96" customFormat="true" ht="13.5"/>
    <row r="2224" s="96" customFormat="true" ht="13.5"/>
    <row r="2225" s="96" customFormat="true" ht="13.5"/>
    <row r="2226" s="96" customFormat="true" ht="13.5"/>
    <row r="2227" s="96" customFormat="true" ht="13.5"/>
    <row r="2228" s="96" customFormat="true" ht="13.5"/>
    <row r="2229" s="96" customFormat="true" ht="13.5"/>
    <row r="2230" s="96" customFormat="true" ht="13.5"/>
    <row r="2231" s="96" customFormat="true" ht="13.5"/>
    <row r="2232" s="96" customFormat="true" ht="13.5"/>
    <row r="2233" s="96" customFormat="true" ht="13.5"/>
    <row r="2234" s="96" customFormat="true" ht="13.5"/>
    <row r="2235" s="96" customFormat="true" ht="13.5"/>
    <row r="2236" s="96" customFormat="true" ht="13.5"/>
    <row r="2237" s="96" customFormat="true" ht="13.5"/>
    <row r="2238" s="96" customFormat="true" ht="13.5"/>
    <row r="2239" s="96" customFormat="true" ht="13.5"/>
    <row r="2240" s="96" customFormat="true" ht="13.5"/>
    <row r="2241" s="96" customFormat="true" ht="13.5"/>
    <row r="2242" s="96" customFormat="true" ht="13.5"/>
    <row r="2243" s="96" customFormat="true" ht="13.5"/>
    <row r="2244" s="96" customFormat="true" ht="13.5"/>
    <row r="2245" s="96" customFormat="true" ht="13.5"/>
    <row r="2246" s="96" customFormat="true" ht="13.5"/>
    <row r="2247" s="96" customFormat="true" ht="13.5"/>
    <row r="2248" s="96" customFormat="true" ht="13.5"/>
    <row r="2249" s="96" customFormat="true" ht="13.5"/>
    <row r="2250" s="96" customFormat="true" ht="13.5"/>
    <row r="2251" s="96" customFormat="true" ht="13.5"/>
    <row r="2252" s="96" customFormat="true" ht="13.5"/>
    <row r="2253" s="96" customFormat="true" ht="13.5"/>
    <row r="2254" s="96" customFormat="true" ht="13.5"/>
    <row r="2255" s="96" customFormat="true" ht="13.5"/>
    <row r="2256" s="96" customFormat="true" ht="13.5"/>
    <row r="2257" s="96" customFormat="true" ht="13.5"/>
    <row r="2258" s="96" customFormat="true" ht="13.5"/>
    <row r="2259" s="96" customFormat="true" ht="13.5"/>
    <row r="2260" s="96" customFormat="true" ht="13.5"/>
    <row r="2261" s="96" customFormat="true" ht="13.5"/>
    <row r="2262" s="96" customFormat="true" ht="13.5"/>
    <row r="2263" s="96" customFormat="true" ht="13.5"/>
    <row r="2264" s="96" customFormat="true" ht="13.5"/>
    <row r="2265" s="96" customFormat="true" ht="13.5"/>
    <row r="2266" s="96" customFormat="true" ht="13.5"/>
    <row r="2267" s="96" customFormat="true" ht="13.5"/>
    <row r="2268" s="96" customFormat="true" ht="13.5"/>
    <row r="2269" s="96" customFormat="true" ht="13.5"/>
    <row r="2270" s="96" customFormat="true" ht="13.5"/>
    <row r="2271" s="96" customFormat="true" ht="13.5"/>
    <row r="2272" s="96" customFormat="true" ht="13.5"/>
    <row r="2273" s="96" customFormat="true" ht="13.5"/>
    <row r="2274" s="96" customFormat="true" ht="13.5"/>
    <row r="2275" s="96" customFormat="true" ht="13.5"/>
    <row r="2276" s="96" customFormat="true" ht="13.5"/>
    <row r="2277" s="96" customFormat="true" ht="13.5"/>
    <row r="2278" s="96" customFormat="true" ht="13.5"/>
    <row r="2279" s="96" customFormat="true" ht="13.5"/>
    <row r="2280" s="96" customFormat="true" ht="13.5"/>
    <row r="2281" s="96" customFormat="true" ht="13.5"/>
    <row r="2282" s="96" customFormat="true" ht="13.5"/>
    <row r="2283" s="96" customFormat="true" ht="13.5"/>
    <row r="2284" s="96" customFormat="true" ht="13.5"/>
    <row r="2285" s="96" customFormat="true" ht="13.5"/>
    <row r="2286" s="96" customFormat="true" ht="13.5"/>
    <row r="2287" s="96" customFormat="true" ht="13.5"/>
    <row r="2288" s="96" customFormat="true" ht="13.5"/>
    <row r="2289" s="96" customFormat="true" ht="13.5"/>
    <row r="2290" s="96" customFormat="true" ht="13.5"/>
    <row r="2291" s="96" customFormat="true" ht="13.5"/>
    <row r="2292" s="96" customFormat="true" ht="13.5"/>
    <row r="2293" s="96" customFormat="true" ht="13.5"/>
    <row r="2294" s="96" customFormat="true" ht="13.5"/>
    <row r="2295" s="96" customFormat="true" ht="13.5"/>
    <row r="2296" s="96" customFormat="true" ht="13.5"/>
    <row r="2297" s="96" customFormat="true" ht="13.5"/>
    <row r="2298" s="96" customFormat="true" ht="13.5"/>
    <row r="2299" s="96" customFormat="true" ht="13.5"/>
    <row r="2300" s="96" customFormat="true" ht="13.5"/>
    <row r="2301" s="96" customFormat="true" ht="13.5"/>
    <row r="2302" s="96" customFormat="true" ht="13.5"/>
    <row r="2303" s="96" customFormat="true" ht="13.5"/>
    <row r="2304" s="96" customFormat="true" ht="13.5"/>
    <row r="2305" s="96" customFormat="true" ht="13.5"/>
    <row r="2306" s="96" customFormat="true" ht="13.5"/>
    <row r="2307" s="96" customFormat="true" ht="13.5"/>
    <row r="2308" s="96" customFormat="true" ht="13.5"/>
    <row r="2309" s="96" customFormat="true" ht="13.5"/>
    <row r="2310" s="96" customFormat="true" ht="13.5"/>
    <row r="2311" s="96" customFormat="true" ht="13.5"/>
    <row r="2312" s="96" customFormat="true" ht="13.5"/>
    <row r="2313" s="96" customFormat="true" ht="13.5"/>
    <row r="2314" s="96" customFormat="true" ht="13.5"/>
    <row r="2315" s="96" customFormat="true" ht="13.5"/>
    <row r="2316" s="96" customFormat="true" ht="13.5"/>
    <row r="2317" s="96" customFormat="true" ht="13.5"/>
    <row r="2318" s="96" customFormat="true" ht="13.5"/>
    <row r="2319" s="96" customFormat="true" ht="13.5"/>
    <row r="2320" s="96" customFormat="true" ht="13.5"/>
    <row r="2321" s="96" customFormat="true" ht="13.5"/>
    <row r="2322" s="96" customFormat="true" ht="13.5"/>
    <row r="2323" s="96" customFormat="true" ht="13.5"/>
    <row r="2324" s="96" customFormat="true" ht="13.5"/>
    <row r="2325" s="96" customFormat="true" ht="13.5"/>
    <row r="2326" s="96" customFormat="true" ht="13.5"/>
    <row r="2327" s="96" customFormat="true" ht="13.5"/>
    <row r="2328" s="96" customFormat="true" ht="13.5"/>
    <row r="2329" s="96" customFormat="true" ht="13.5"/>
    <row r="2330" s="96" customFormat="true" ht="13.5"/>
    <row r="2331" s="96" customFormat="true" ht="13.5"/>
    <row r="2332" s="96" customFormat="true" ht="13.5"/>
    <row r="2333" s="96" customFormat="true" ht="13.5"/>
    <row r="2334" s="96" customFormat="true" ht="13.5"/>
    <row r="2335" s="96" customFormat="true" ht="13.5"/>
    <row r="2336" s="96" customFormat="true" ht="13.5"/>
    <row r="2337" s="96" customFormat="true" ht="13.5"/>
    <row r="2338" s="96" customFormat="true" ht="13.5"/>
    <row r="2339" s="96" customFormat="true" ht="13.5"/>
    <row r="2340" s="96" customFormat="true" ht="13.5"/>
    <row r="2341" s="96" customFormat="true" ht="13.5"/>
    <row r="2342" s="96" customFormat="true" ht="13.5"/>
    <row r="2343" s="96" customFormat="true" ht="13.5"/>
    <row r="2344" s="96" customFormat="true" ht="13.5"/>
    <row r="2345" s="96" customFormat="true" ht="13.5"/>
    <row r="2346" s="96" customFormat="true" ht="13.5"/>
    <row r="2347" s="96" customFormat="true" ht="13.5"/>
    <row r="2348" s="96" customFormat="true" ht="13.5"/>
    <row r="2349" s="96" customFormat="true" ht="13.5"/>
    <row r="2350" s="96" customFormat="true" ht="13.5"/>
    <row r="2351" s="96" customFormat="true" ht="13.5"/>
    <row r="2352" s="96" customFormat="true" ht="13.5"/>
    <row r="2353" s="96" customFormat="true" ht="13.5"/>
    <row r="2354" s="96" customFormat="true" ht="13.5"/>
    <row r="2355" s="96" customFormat="true" ht="13.5"/>
    <row r="2356" s="96" customFormat="true" ht="13.5"/>
    <row r="2357" s="96" customFormat="true" ht="13.5"/>
    <row r="2358" s="96" customFormat="true" ht="13.5"/>
    <row r="2359" s="96" customFormat="true" ht="13.5"/>
    <row r="2360" s="96" customFormat="true" ht="13.5"/>
    <row r="2361" s="96" customFormat="true" ht="13.5"/>
    <row r="2362" s="96" customFormat="true" ht="13.5"/>
    <row r="2363" s="96" customFormat="true" ht="13.5"/>
    <row r="2364" s="96" customFormat="true" ht="13.5"/>
    <row r="2365" s="96" customFormat="true" ht="13.5"/>
    <row r="2366" s="96" customFormat="true" ht="13.5"/>
    <row r="2367" s="96" customFormat="true" ht="13.5"/>
    <row r="2368" s="96" customFormat="true" ht="13.5"/>
    <row r="2369" s="96" customFormat="true" ht="13.5"/>
    <row r="2370" s="96" customFormat="true" ht="13.5"/>
    <row r="2371" s="96" customFormat="true" ht="13.5"/>
    <row r="2372" s="96" customFormat="true" ht="13.5"/>
    <row r="2373" s="96" customFormat="true" ht="13.5"/>
    <row r="2374" s="96" customFormat="true" ht="13.5"/>
    <row r="2375" s="96" customFormat="true" ht="13.5"/>
    <row r="2376" s="96" customFormat="true" ht="13.5"/>
    <row r="2377" s="96" customFormat="true" ht="13.5"/>
    <row r="2378" s="96" customFormat="true" ht="13.5"/>
    <row r="2379" s="96" customFormat="true" ht="13.5"/>
    <row r="2380" s="96" customFormat="true" ht="13.5"/>
    <row r="2381" s="96" customFormat="true" ht="13.5"/>
    <row r="2382" s="96" customFormat="true" ht="13.5"/>
    <row r="2383" s="96" customFormat="true" ht="13.5"/>
    <row r="2384" s="96" customFormat="true" ht="13.5"/>
    <row r="2385" s="96" customFormat="true" ht="13.5"/>
    <row r="2386" s="96" customFormat="true" ht="13.5"/>
    <row r="2387" s="96" customFormat="true" ht="13.5"/>
    <row r="2388" s="96" customFormat="true" ht="13.5"/>
    <row r="2389" s="96" customFormat="true" ht="13.5"/>
    <row r="2390" s="96" customFormat="true" ht="13.5"/>
    <row r="2391" s="96" customFormat="true" ht="13.5"/>
    <row r="2392" s="96" customFormat="true" ht="13.5"/>
    <row r="2393" s="96" customFormat="true" ht="13.5"/>
    <row r="2394" s="96" customFormat="true" ht="13.5"/>
    <row r="2395" s="96" customFormat="true" ht="13.5"/>
    <row r="2396" s="96" customFormat="true" ht="13.5"/>
    <row r="2397" s="96" customFormat="true" ht="13.5"/>
    <row r="2398" s="96" customFormat="true" ht="13.5"/>
    <row r="2399" s="96" customFormat="true" ht="13.5"/>
    <row r="2400" s="96" customFormat="true" ht="13.5"/>
    <row r="2401" s="96" customFormat="true" ht="13.5"/>
    <row r="2402" s="96" customFormat="true" ht="13.5"/>
    <row r="2403" s="96" customFormat="true" ht="13.5"/>
    <row r="2404" s="96" customFormat="true" ht="13.5"/>
    <row r="2405" s="96" customFormat="true" ht="13.5"/>
    <row r="2406" s="96" customFormat="true" ht="13.5"/>
    <row r="2407" s="96" customFormat="true" ht="13.5"/>
    <row r="2408" s="96" customFormat="true" ht="13.5"/>
    <row r="2409" s="96" customFormat="true" ht="13.5"/>
    <row r="2410" s="96" customFormat="true" ht="13.5"/>
    <row r="2411" s="96" customFormat="true" ht="13.5"/>
    <row r="2412" s="96" customFormat="true" ht="13.5"/>
    <row r="2413" s="96" customFormat="true" ht="13.5"/>
    <row r="2414" s="96" customFormat="true" ht="13.5"/>
    <row r="2415" s="96" customFormat="true" ht="13.5"/>
    <row r="2416" s="96" customFormat="true" ht="13.5"/>
    <row r="2417" s="96" customFormat="true" ht="13.5"/>
    <row r="2418" s="96" customFormat="true" ht="13.5"/>
    <row r="2419" s="96" customFormat="true" ht="13.5"/>
    <row r="2420" s="96" customFormat="true" ht="13.5"/>
    <row r="2421" s="96" customFormat="true" ht="13.5"/>
    <row r="2422" s="96" customFormat="true" ht="13.5"/>
    <row r="2423" s="96" customFormat="true" ht="13.5"/>
    <row r="2424" s="96" customFormat="true" ht="13.5"/>
    <row r="2425" s="96" customFormat="true" ht="13.5"/>
    <row r="2426" s="96" customFormat="true" ht="13.5"/>
    <row r="2427" s="96" customFormat="true" ht="13.5"/>
    <row r="2428" s="96" customFormat="true" ht="13.5"/>
    <row r="2429" s="96" customFormat="true" ht="13.5"/>
    <row r="2430" s="96" customFormat="true" ht="13.5"/>
    <row r="2431" s="96" customFormat="true" ht="13.5"/>
    <row r="2432" s="96" customFormat="true" ht="13.5"/>
    <row r="2433" s="96" customFormat="true" ht="13.5"/>
    <row r="2434" s="96" customFormat="true" ht="13.5"/>
    <row r="2435" s="96" customFormat="true" ht="13.5"/>
    <row r="2436" s="96" customFormat="true" ht="13.5"/>
    <row r="2437" s="96" customFormat="true" ht="13.5"/>
    <row r="2438" s="96" customFormat="true" ht="13.5"/>
    <row r="2439" s="96" customFormat="true" ht="13.5"/>
    <row r="2440" s="96" customFormat="true" ht="13.5"/>
    <row r="2441" s="96" customFormat="true" ht="13.5"/>
    <row r="2442" s="96" customFormat="true" ht="13.5"/>
    <row r="2443" s="96" customFormat="true" ht="13.5"/>
    <row r="2444" s="96" customFormat="true" ht="13.5"/>
    <row r="2445" s="96" customFormat="true" ht="13.5"/>
    <row r="2446" s="96" customFormat="true" ht="13.5"/>
    <row r="2447" s="96" customFormat="true" ht="13.5"/>
    <row r="2448" s="96" customFormat="true" ht="13.5"/>
    <row r="2449" s="96" customFormat="true" ht="13.5"/>
    <row r="2450" s="96" customFormat="true" ht="13.5"/>
    <row r="2451" s="96" customFormat="true" ht="13.5"/>
    <row r="2452" s="96" customFormat="true" ht="13.5"/>
    <row r="2453" s="96" customFormat="true" ht="13.5"/>
    <row r="2454" s="96" customFormat="true" ht="13.5"/>
    <row r="2455" s="96" customFormat="true" ht="13.5"/>
    <row r="2456" s="96" customFormat="true" ht="13.5"/>
    <row r="2457" s="96" customFormat="true" ht="13.5"/>
    <row r="2458" s="96" customFormat="true" ht="13.5"/>
    <row r="2459" s="96" customFormat="true" ht="13.5"/>
    <row r="2460" s="96" customFormat="true" ht="13.5"/>
    <row r="2461" s="96" customFormat="true" ht="13.5"/>
    <row r="2462" s="96" customFormat="true" ht="13.5"/>
    <row r="2463" s="96" customFormat="true" ht="13.5"/>
    <row r="2464" s="96" customFormat="true" ht="13.5"/>
    <row r="2465" s="96" customFormat="true" ht="13.5"/>
    <row r="2466" s="96" customFormat="true" ht="13.5"/>
    <row r="2467" s="96" customFormat="true" ht="13.5"/>
    <row r="2468" s="96" customFormat="true" ht="13.5"/>
    <row r="2469" s="96" customFormat="true" ht="13.5"/>
    <row r="2470" s="96" customFormat="true" ht="13.5"/>
    <row r="2471" s="96" customFormat="true" ht="13.5"/>
    <row r="2472" s="96" customFormat="true" ht="13.5"/>
    <row r="2473" s="96" customFormat="true" ht="13.5"/>
    <row r="2474" s="96" customFormat="true" ht="13.5"/>
    <row r="2475" s="96" customFormat="true" ht="13.5"/>
    <row r="2476" s="96" customFormat="true" ht="13.5"/>
    <row r="2477" s="96" customFormat="true" ht="13.5"/>
    <row r="2478" s="96" customFormat="true" ht="13.5"/>
    <row r="2479" s="96" customFormat="true" ht="13.5"/>
    <row r="2480" s="96" customFormat="true" ht="13.5"/>
    <row r="2481" s="96" customFormat="true" ht="13.5"/>
    <row r="2482" s="96" customFormat="true" ht="13.5"/>
    <row r="2483" s="96" customFormat="true" ht="13.5"/>
    <row r="2484" s="96" customFormat="true" ht="13.5"/>
    <row r="2485" s="96" customFormat="true" ht="13.5"/>
    <row r="2486" s="96" customFormat="true" ht="13.5"/>
    <row r="2487" s="96" customFormat="true" ht="13.5"/>
    <row r="2488" s="96" customFormat="true" ht="13.5"/>
    <row r="2489" s="96" customFormat="true" ht="13.5"/>
    <row r="2490" s="96" customFormat="true" ht="13.5"/>
    <row r="2491" s="96" customFormat="true" ht="13.5"/>
    <row r="2492" s="96" customFormat="true" ht="13.5"/>
    <row r="2493" s="96" customFormat="true" ht="13.5"/>
    <row r="2494" s="96" customFormat="true" ht="13.5"/>
    <row r="2495" s="96" customFormat="true" ht="13.5"/>
    <row r="2496" s="96" customFormat="true" ht="13.5"/>
    <row r="2497" s="96" customFormat="true" ht="13.5"/>
    <row r="2498" s="96" customFormat="true" ht="13.5"/>
    <row r="2499" s="96" customFormat="true" ht="13.5"/>
    <row r="2500" s="96" customFormat="true" ht="13.5"/>
    <row r="2501" s="96" customFormat="true" ht="13.5"/>
    <row r="2502" s="96" customFormat="true" ht="13.5"/>
    <row r="2503" s="96" customFormat="true" ht="13.5"/>
    <row r="2504" s="96" customFormat="true" ht="13.5"/>
    <row r="2505" s="96" customFormat="true" ht="13.5"/>
    <row r="2506" s="96" customFormat="true" ht="13.5"/>
    <row r="2507" s="96" customFormat="true" ht="13.5"/>
    <row r="2508" s="96" customFormat="true" ht="13.5"/>
    <row r="2509" s="96" customFormat="true" ht="13.5"/>
    <row r="2510" s="96" customFormat="true" ht="13.5"/>
    <row r="2511" s="96" customFormat="true" ht="13.5"/>
    <row r="2512" s="96" customFormat="true" ht="13.5"/>
    <row r="2513" s="96" customFormat="true" ht="13.5"/>
    <row r="2514" s="96" customFormat="true" ht="13.5"/>
    <row r="2515" s="96" customFormat="true" ht="13.5"/>
    <row r="2516" s="96" customFormat="true" ht="13.5"/>
    <row r="2517" s="96" customFormat="true" ht="13.5"/>
    <row r="2518" s="96" customFormat="true" ht="13.5"/>
    <row r="2519" s="96" customFormat="true" ht="13.5"/>
    <row r="2520" s="96" customFormat="true" ht="13.5"/>
    <row r="2521" s="96" customFormat="true" ht="13.5"/>
    <row r="2522" s="96" customFormat="true" ht="13.5"/>
    <row r="2523" s="96" customFormat="true" ht="13.5"/>
    <row r="2524" s="96" customFormat="true" ht="13.5"/>
    <row r="2525" s="96" customFormat="true" ht="13.5"/>
    <row r="2526" s="96" customFormat="true" ht="13.5"/>
    <row r="2527" s="96" customFormat="true" ht="13.5"/>
    <row r="2528" s="96" customFormat="true" ht="13.5"/>
    <row r="2529" s="96" customFormat="true" ht="13.5"/>
    <row r="2530" s="96" customFormat="true" ht="13.5"/>
    <row r="2531" s="96" customFormat="true" ht="13.5"/>
    <row r="2532" s="96" customFormat="true" ht="13.5"/>
    <row r="2533" s="96" customFormat="true" ht="13.5"/>
    <row r="2534" s="96" customFormat="true" ht="13.5"/>
    <row r="2535" s="96" customFormat="true" ht="13.5"/>
    <row r="2536" s="96" customFormat="true" ht="13.5"/>
    <row r="2537" s="96" customFormat="true" ht="13.5"/>
    <row r="2538" s="96" customFormat="true" ht="13.5"/>
    <row r="2539" s="96" customFormat="true" ht="13.5"/>
    <row r="2540" s="96" customFormat="true" ht="13.5"/>
    <row r="2541" s="96" customFormat="true" ht="13.5"/>
    <row r="2542" s="96" customFormat="true" ht="13.5"/>
    <row r="2543" s="96" customFormat="true" ht="13.5"/>
    <row r="2544" s="96" customFormat="true" ht="13.5"/>
    <row r="2545" s="96" customFormat="true" ht="13.5"/>
    <row r="2546" s="96" customFormat="true" ht="13.5"/>
    <row r="2547" s="96" customFormat="true" ht="13.5"/>
    <row r="2548" s="96" customFormat="true" ht="13.5"/>
    <row r="2549" s="96" customFormat="true" ht="13.5"/>
    <row r="2550" s="96" customFormat="true" ht="13.5"/>
    <row r="2551" s="96" customFormat="true" ht="13.5"/>
    <row r="2552" s="96" customFormat="true" ht="13.5"/>
    <row r="2553" s="96" customFormat="true" ht="13.5"/>
    <row r="2554" s="96" customFormat="true" ht="13.5"/>
    <row r="2555" s="96" customFormat="true" ht="13.5"/>
    <row r="2556" s="96" customFormat="true" ht="13.5"/>
    <row r="2557" s="96" customFormat="true" ht="13.5"/>
    <row r="2558" s="96" customFormat="true" ht="13.5"/>
    <row r="2559" s="96" customFormat="true" ht="13.5"/>
    <row r="2560" s="96" customFormat="true" ht="13.5"/>
    <row r="2561" s="96" customFormat="true" ht="13.5"/>
    <row r="2562" s="96" customFormat="true" ht="13.5"/>
    <row r="2563" s="96" customFormat="true" ht="13.5"/>
    <row r="2564" s="96" customFormat="true" ht="13.5"/>
    <row r="2565" s="96" customFormat="true" ht="13.5"/>
    <row r="2566" s="96" customFormat="true" ht="13.5"/>
    <row r="2567" s="96" customFormat="true" ht="13.5"/>
    <row r="2568" s="96" customFormat="true" ht="13.5"/>
    <row r="2569" s="96" customFormat="true" ht="13.5"/>
    <row r="2570" s="96" customFormat="true" ht="13.5"/>
    <row r="2571" s="96" customFormat="true" ht="13.5"/>
    <row r="2572" s="96" customFormat="true" ht="13.5"/>
    <row r="2573" s="96" customFormat="true" ht="13.5"/>
    <row r="2574" s="96" customFormat="true" ht="13.5"/>
    <row r="2575" s="96" customFormat="true" ht="13.5"/>
    <row r="2576" s="96" customFormat="true" ht="13.5"/>
    <row r="2577" s="96" customFormat="true" ht="13.5"/>
    <row r="2578" s="96" customFormat="true" ht="13.5"/>
    <row r="2579" s="96" customFormat="true" ht="13.5"/>
    <row r="2580" s="96" customFormat="true" ht="13.5"/>
    <row r="2581" s="96" customFormat="true" ht="13.5"/>
    <row r="2582" s="96" customFormat="true" ht="13.5"/>
    <row r="2583" s="96" customFormat="true" ht="13.5"/>
    <row r="2584" s="96" customFormat="true" ht="13.5"/>
    <row r="2585" s="96" customFormat="true" ht="13.5"/>
    <row r="2586" s="96" customFormat="true" ht="13.5"/>
    <row r="2587" s="96" customFormat="true" ht="13.5"/>
    <row r="2588" s="96" customFormat="true" ht="13.5"/>
    <row r="2589" s="96" customFormat="true" ht="13.5"/>
    <row r="2590" s="96" customFormat="true" ht="13.5"/>
    <row r="2591" s="96" customFormat="true" ht="13.5"/>
    <row r="2592" s="96" customFormat="true" ht="13.5"/>
    <row r="2593" s="96" customFormat="true" ht="13.5"/>
    <row r="2594" s="96" customFormat="true" ht="13.5"/>
    <row r="2595" s="96" customFormat="true" ht="13.5"/>
    <row r="2596" s="96" customFormat="true" ht="13.5"/>
    <row r="2597" s="96" customFormat="true" ht="13.5"/>
    <row r="2598" s="96" customFormat="true" ht="13.5"/>
    <row r="2599" s="96" customFormat="true" ht="13.5"/>
    <row r="2600" s="96" customFormat="true" ht="13.5"/>
    <row r="2601" s="96" customFormat="true" ht="13.5"/>
    <row r="2602" s="96" customFormat="true" ht="13.5"/>
    <row r="2603" s="96" customFormat="true" ht="13.5"/>
    <row r="2604" s="96" customFormat="true" ht="13.5"/>
    <row r="2605" s="96" customFormat="true" ht="13.5"/>
    <row r="2606" s="96" customFormat="true" ht="13.5"/>
    <row r="2607" s="96" customFormat="true" ht="13.5"/>
    <row r="2608" s="96" customFormat="true" ht="13.5"/>
    <row r="2609" s="96" customFormat="true" ht="13.5"/>
    <row r="2610" s="96" customFormat="true" ht="13.5"/>
    <row r="2611" s="96" customFormat="true" ht="13.5"/>
    <row r="2612" s="96" customFormat="true" ht="13.5"/>
    <row r="2613" s="96" customFormat="true" ht="13.5"/>
    <row r="2614" s="96" customFormat="true" ht="13.5"/>
    <row r="2615" s="96" customFormat="true" ht="13.5"/>
    <row r="2616" s="96" customFormat="true" ht="13.5"/>
    <row r="2617" s="96" customFormat="true" ht="13.5"/>
    <row r="2618" s="96" customFormat="true" ht="13.5"/>
    <row r="2619" s="96" customFormat="true" ht="13.5"/>
    <row r="2620" s="96" customFormat="true" ht="13.5"/>
    <row r="2621" s="96" customFormat="true" ht="13.5"/>
    <row r="2622" s="96" customFormat="true" ht="13.5"/>
    <row r="2623" s="96" customFormat="true" ht="13.5"/>
    <row r="2624" s="96" customFormat="true" ht="13.5"/>
    <row r="2625" s="96" customFormat="true" ht="13.5"/>
    <row r="2626" s="96" customFormat="true" ht="13.5"/>
    <row r="2627" s="96" customFormat="true" ht="13.5"/>
    <row r="2628" s="96" customFormat="true" ht="13.5"/>
    <row r="2629" s="96" customFormat="true" ht="13.5"/>
    <row r="2630" s="96" customFormat="true" ht="13.5"/>
    <row r="2631" s="96" customFormat="true" ht="13.5"/>
    <row r="2632" s="96" customFormat="true" ht="13.5"/>
    <row r="2633" s="96" customFormat="true" ht="13.5"/>
    <row r="2634" s="96" customFormat="true" ht="13.5"/>
    <row r="2635" s="96" customFormat="true" ht="13.5"/>
    <row r="2636" s="96" customFormat="true" ht="13.5"/>
    <row r="2637" s="96" customFormat="true" ht="13.5"/>
    <row r="2638" s="96" customFormat="true" ht="13.5"/>
    <row r="2639" s="96" customFormat="true" ht="13.5"/>
    <row r="2640" s="96" customFormat="true" ht="13.5"/>
    <row r="2641" s="96" customFormat="true" ht="13.5"/>
    <row r="2642" s="96" customFormat="true" ht="13.5"/>
    <row r="2643" s="96" customFormat="true" ht="13.5"/>
    <row r="2644" s="96" customFormat="true" ht="13.5"/>
    <row r="2645" s="96" customFormat="true" ht="13.5"/>
    <row r="2646" s="96" customFormat="true" ht="13.5"/>
    <row r="2647" s="96" customFormat="true" ht="13.5"/>
    <row r="2648" s="96" customFormat="true" ht="13.5"/>
    <row r="2649" s="96" customFormat="true" ht="13.5"/>
    <row r="2650" s="96" customFormat="true" ht="13.5"/>
    <row r="2651" s="96" customFormat="true" ht="13.5"/>
    <row r="2652" s="96" customFormat="true" ht="13.5"/>
    <row r="2653" s="96" customFormat="true" ht="13.5"/>
    <row r="2654" s="96" customFormat="true" ht="13.5"/>
    <row r="2655" s="96" customFormat="true" ht="13.5"/>
    <row r="2656" s="96" customFormat="true" ht="13.5"/>
    <row r="2657" s="96" customFormat="true" ht="13.5"/>
    <row r="2658" s="96" customFormat="true" ht="13.5"/>
    <row r="2659" s="96" customFormat="true" ht="13.5"/>
    <row r="2660" s="96" customFormat="true" ht="13.5"/>
    <row r="2661" s="96" customFormat="true" ht="13.5"/>
    <row r="2662" s="96" customFormat="true" ht="13.5"/>
    <row r="2663" s="96" customFormat="true" ht="13.5"/>
    <row r="2664" s="96" customFormat="true" ht="13.5"/>
    <row r="2665" s="96" customFormat="true" ht="13.5"/>
    <row r="2666" s="96" customFormat="true" ht="13.5"/>
    <row r="2667" s="96" customFormat="true" ht="13.5"/>
    <row r="2668" s="96" customFormat="true" ht="13.5"/>
    <row r="2669" s="96" customFormat="true" ht="13.5"/>
    <row r="2670" s="96" customFormat="true" ht="13.5"/>
    <row r="2671" s="96" customFormat="true" ht="13.5"/>
    <row r="2672" s="96" customFormat="true" ht="13.5"/>
    <row r="2673" s="96" customFormat="true" ht="13.5"/>
    <row r="2674" s="96" customFormat="true" ht="13.5"/>
    <row r="2675" s="96" customFormat="true" ht="13.5"/>
    <row r="2676" s="96" customFormat="true" ht="13.5"/>
    <row r="2677" s="96" customFormat="true" ht="13.5"/>
    <row r="2678" s="96" customFormat="true" ht="13.5"/>
    <row r="2679" s="96" customFormat="true" ht="13.5"/>
    <row r="2680" s="96" customFormat="true" ht="13.5"/>
    <row r="2681" s="96" customFormat="true" ht="13.5"/>
    <row r="2682" s="96" customFormat="true" ht="13.5"/>
    <row r="2683" s="96" customFormat="true" ht="13.5"/>
    <row r="2684" s="96" customFormat="true" ht="13.5"/>
    <row r="2685" s="96" customFormat="true" ht="13.5"/>
    <row r="2686" s="96" customFormat="true" ht="13.5"/>
    <row r="2687" s="96" customFormat="true" ht="13.5"/>
    <row r="2688" s="96" customFormat="true" ht="13.5"/>
    <row r="2689" s="96" customFormat="true" ht="13.5"/>
    <row r="2690" s="96" customFormat="true" ht="13.5"/>
    <row r="2691" s="96" customFormat="true" ht="13.5"/>
    <row r="2692" s="96" customFormat="true" ht="13.5"/>
    <row r="2693" s="96" customFormat="true" ht="13.5"/>
    <row r="2694" s="96" customFormat="true" ht="13.5"/>
    <row r="2695" s="96" customFormat="true" ht="13.5"/>
    <row r="2696" s="96" customFormat="true" ht="13.5"/>
    <row r="2697" s="96" customFormat="true" ht="13.5"/>
    <row r="2698" s="96" customFormat="true" ht="13.5"/>
    <row r="2699" s="96" customFormat="true" ht="13.5"/>
    <row r="2700" s="96" customFormat="true" ht="13.5"/>
    <row r="2701" s="96" customFormat="true" ht="13.5"/>
    <row r="2702" s="96" customFormat="true" ht="13.5"/>
    <row r="2703" s="96" customFormat="true" ht="13.5"/>
    <row r="2704" s="96" customFormat="true" ht="13.5"/>
    <row r="2705" s="96" customFormat="true" ht="13.5"/>
    <row r="2706" s="96" customFormat="true" ht="13.5"/>
    <row r="2707" s="96" customFormat="true" ht="13.5"/>
    <row r="2708" s="96" customFormat="true" ht="13.5"/>
    <row r="2709" s="96" customFormat="true" ht="13.5"/>
    <row r="2710" s="96" customFormat="true" ht="13.5"/>
    <row r="2711" s="96" customFormat="true" ht="13.5"/>
    <row r="2712" s="96" customFormat="true" ht="13.5"/>
    <row r="2713" s="96" customFormat="true" ht="13.5"/>
    <row r="2714" s="96" customFormat="true" ht="13.5"/>
    <row r="2715" s="96" customFormat="true" ht="13.5"/>
    <row r="2716" s="96" customFormat="true" ht="13.5"/>
    <row r="2717" s="96" customFormat="true" ht="13.5"/>
    <row r="2718" s="96" customFormat="true" ht="13.5"/>
    <row r="2719" s="96" customFormat="true" ht="13.5"/>
    <row r="2720" s="96" customFormat="true" ht="13.5"/>
    <row r="2721" s="96" customFormat="true" ht="13.5"/>
    <row r="2722" s="96" customFormat="true" ht="13.5"/>
    <row r="2723" s="96" customFormat="true" ht="13.5"/>
    <row r="2724" s="96" customFormat="true" ht="13.5"/>
    <row r="2725" s="96" customFormat="true" ht="13.5"/>
    <row r="2726" s="96" customFormat="true" ht="13.5"/>
    <row r="2727" s="96" customFormat="true" ht="13.5"/>
    <row r="2728" s="96" customFormat="true" ht="13.5"/>
    <row r="2729" s="96" customFormat="true" ht="13.5"/>
    <row r="2730" s="96" customFormat="true" ht="13.5"/>
    <row r="2731" s="96" customFormat="true" ht="13.5"/>
    <row r="2732" s="96" customFormat="true" ht="13.5"/>
    <row r="2733" s="96" customFormat="true" ht="13.5"/>
    <row r="2734" s="96" customFormat="true" ht="13.5"/>
    <row r="2735" s="96" customFormat="true" ht="13.5"/>
    <row r="2736" s="96" customFormat="true" ht="13.5"/>
    <row r="2737" s="96" customFormat="true" ht="13.5"/>
    <row r="2738" s="96" customFormat="true" ht="13.5"/>
    <row r="2739" s="96" customFormat="true" ht="13.5"/>
    <row r="2740" s="96" customFormat="true" ht="13.5"/>
    <row r="2741" s="96" customFormat="true" ht="13.5"/>
    <row r="2742" s="96" customFormat="true" ht="13.5"/>
    <row r="2743" s="96" customFormat="true" ht="13.5"/>
    <row r="2744" s="96" customFormat="true" ht="13.5"/>
    <row r="2745" s="96" customFormat="true" ht="13.5"/>
    <row r="2746" s="96" customFormat="true" ht="13.5"/>
    <row r="2747" s="96" customFormat="true" ht="13.5"/>
    <row r="2748" s="96" customFormat="true" ht="13.5"/>
    <row r="2749" s="96" customFormat="true" ht="13.5"/>
    <row r="2750" s="96" customFormat="true" ht="13.5"/>
    <row r="2751" s="96" customFormat="true" ht="13.5"/>
    <row r="2752" s="96" customFormat="true" ht="13.5"/>
    <row r="2753" s="96" customFormat="true" ht="13.5"/>
    <row r="2754" s="96" customFormat="true" ht="13.5"/>
    <row r="2755" s="96" customFormat="true" ht="13.5"/>
    <row r="2756" s="96" customFormat="true" ht="13.5"/>
    <row r="2757" s="96" customFormat="true" ht="13.5"/>
    <row r="2758" s="96" customFormat="true" ht="13.5"/>
    <row r="2759" s="96" customFormat="true" ht="13.5"/>
    <row r="2760" s="96" customFormat="true" ht="13.5"/>
    <row r="2761" s="96" customFormat="true" ht="13.5"/>
    <row r="2762" s="96" customFormat="true" ht="13.5"/>
    <row r="2763" s="96" customFormat="true" ht="13.5"/>
    <row r="2764" s="96" customFormat="true" ht="13.5"/>
    <row r="2765" s="96" customFormat="true" ht="13.5"/>
    <row r="2766" s="96" customFormat="true" ht="13.5"/>
    <row r="2767" s="96" customFormat="true" ht="13.5"/>
    <row r="2768" s="96" customFormat="true" ht="13.5"/>
    <row r="2769" s="96" customFormat="true" ht="13.5"/>
    <row r="2770" s="96" customFormat="true" ht="13.5"/>
    <row r="2771" s="96" customFormat="true" ht="13.5"/>
    <row r="2772" s="96" customFormat="true" ht="13.5"/>
    <row r="2773" s="96" customFormat="true" ht="13.5"/>
    <row r="2774" s="96" customFormat="true" ht="13.5"/>
    <row r="2775" s="96" customFormat="true" ht="13.5"/>
    <row r="2776" s="96" customFormat="true" ht="13.5"/>
    <row r="2777" s="96" customFormat="true" ht="13.5"/>
    <row r="2778" s="96" customFormat="true" ht="13.5"/>
    <row r="2779" s="96" customFormat="true" ht="13.5"/>
    <row r="2780" s="96" customFormat="true" ht="13.5"/>
    <row r="2781" s="96" customFormat="true" ht="13.5"/>
    <row r="2782" s="96" customFormat="true" ht="13.5"/>
    <row r="2783" s="96" customFormat="true" ht="13.5"/>
    <row r="2784" s="96" customFormat="true" ht="13.5"/>
    <row r="2785" s="96" customFormat="true" ht="13.5"/>
    <row r="2786" s="96" customFormat="true" ht="13.5"/>
    <row r="2787" s="96" customFormat="true" ht="13.5"/>
    <row r="2788" s="96" customFormat="true" ht="13.5"/>
    <row r="2789" s="96" customFormat="true" ht="13.5"/>
    <row r="2790" s="96" customFormat="true" ht="13.5"/>
    <row r="2791" s="96" customFormat="true" ht="13.5"/>
    <row r="2792" s="96" customFormat="true" ht="13.5"/>
    <row r="2793" s="96" customFormat="true" ht="13.5"/>
    <row r="2794" s="96" customFormat="true" ht="13.5"/>
    <row r="2795" s="96" customFormat="true" ht="13.5"/>
    <row r="2796" s="96" customFormat="true" ht="13.5"/>
    <row r="2797" s="96" customFormat="true" ht="13.5"/>
    <row r="2798" s="96" customFormat="true" ht="13.5"/>
    <row r="2799" s="96" customFormat="true" ht="13.5"/>
    <row r="2800" s="96" customFormat="true" ht="13.5"/>
    <row r="2801" s="96" customFormat="true" ht="13.5"/>
    <row r="2802" s="96" customFormat="true" ht="13.5"/>
    <row r="2803" s="96" customFormat="true" ht="13.5"/>
    <row r="2804" s="96" customFormat="true" ht="13.5"/>
    <row r="2805" s="96" customFormat="true" ht="13.5"/>
    <row r="2806" s="96" customFormat="true" ht="13.5"/>
    <row r="2807" s="96" customFormat="true" ht="13.5"/>
    <row r="2808" s="96" customFormat="true" ht="13.5"/>
    <row r="2809" s="96" customFormat="true" ht="13.5"/>
    <row r="2810" s="96" customFormat="true" ht="13.5"/>
    <row r="2811" s="96" customFormat="true" ht="13.5"/>
    <row r="2812" s="96" customFormat="true" ht="13.5"/>
    <row r="2813" s="96" customFormat="true" ht="13.5"/>
    <row r="2814" s="96" customFormat="true" ht="13.5"/>
    <row r="2815" s="96" customFormat="true" ht="13.5"/>
    <row r="2816" s="96" customFormat="true" ht="13.5"/>
    <row r="2817" s="96" customFormat="true" ht="13.5"/>
    <row r="2818" s="96" customFormat="true" ht="13.5"/>
    <row r="2819" s="96" customFormat="true" ht="13.5"/>
    <row r="2820" s="96" customFormat="true" ht="13.5"/>
    <row r="2821" s="96" customFormat="true" ht="13.5"/>
    <row r="2822" s="96" customFormat="true" ht="13.5"/>
    <row r="2823" s="96" customFormat="true" ht="13.5"/>
    <row r="2824" s="96" customFormat="true" ht="13.5"/>
    <row r="2825" s="96" customFormat="true" ht="13.5"/>
    <row r="2826" s="96" customFormat="true" ht="13.5"/>
    <row r="2827" s="96" customFormat="true" ht="13.5"/>
    <row r="2828" s="96" customFormat="true" ht="13.5"/>
    <row r="2829" s="96" customFormat="true" ht="13.5"/>
    <row r="2830" s="96" customFormat="true" ht="13.5"/>
    <row r="2831" s="96" customFormat="true" ht="13.5"/>
    <row r="2832" s="96" customFormat="true" ht="13.5"/>
    <row r="2833" s="96" customFormat="true" ht="13.5"/>
    <row r="2834" s="96" customFormat="true" ht="13.5"/>
    <row r="2835" s="96" customFormat="true" ht="13.5"/>
    <row r="2836" s="96" customFormat="true" ht="13.5"/>
    <row r="2837" s="96" customFormat="true" ht="13.5"/>
    <row r="2838" s="96" customFormat="true" ht="13.5"/>
    <row r="2839" s="96" customFormat="true" ht="13.5"/>
    <row r="2840" s="96" customFormat="true" ht="13.5"/>
    <row r="2841" s="96" customFormat="true" ht="13.5"/>
    <row r="2842" s="96" customFormat="true" ht="13.5"/>
    <row r="2843" s="96" customFormat="true" ht="13.5"/>
    <row r="2844" s="96" customFormat="true" ht="13.5"/>
    <row r="2845" s="96" customFormat="true" ht="13.5"/>
    <row r="2846" s="96" customFormat="true" ht="13.5"/>
    <row r="2847" s="96" customFormat="true" ht="13.5"/>
    <row r="2848" s="96" customFormat="true" ht="13.5"/>
    <row r="2849" s="96" customFormat="true" ht="13.5"/>
    <row r="2850" s="96" customFormat="true" ht="13.5"/>
    <row r="2851" s="96" customFormat="true" ht="13.5"/>
    <row r="2852" s="96" customFormat="true" ht="13.5"/>
    <row r="2853" s="96" customFormat="true" ht="13.5"/>
    <row r="2854" s="96" customFormat="true" ht="13.5"/>
    <row r="2855" s="96" customFormat="true" ht="13.5"/>
    <row r="2856" s="96" customFormat="true" ht="13.5"/>
    <row r="2857" s="96" customFormat="true" ht="13.5"/>
    <row r="2858" s="96" customFormat="true" ht="13.5"/>
    <row r="2859" s="96" customFormat="true" ht="13.5"/>
    <row r="2860" s="96" customFormat="true" ht="13.5"/>
    <row r="2861" s="96" customFormat="true" ht="13.5"/>
    <row r="2862" s="96" customFormat="true" ht="13.5"/>
    <row r="2863" s="96" customFormat="true" ht="13.5"/>
    <row r="2864" s="96" customFormat="true" ht="13.5"/>
    <row r="2865" s="96" customFormat="true" ht="13.5"/>
    <row r="2866" s="96" customFormat="true" ht="13.5"/>
    <row r="2867" s="96" customFormat="true" ht="13.5"/>
    <row r="2868" s="96" customFormat="true" ht="13.5"/>
    <row r="2869" s="96" customFormat="true" ht="13.5"/>
    <row r="2870" s="96" customFormat="true" ht="13.5"/>
    <row r="2871" s="96" customFormat="true" ht="13.5"/>
    <row r="2872" s="96" customFormat="true" ht="13.5"/>
    <row r="2873" s="96" customFormat="true" ht="13.5"/>
    <row r="2874" s="96" customFormat="true" ht="13.5"/>
    <row r="2875" s="96" customFormat="true" ht="13.5"/>
    <row r="2876" s="96" customFormat="true" ht="13.5"/>
    <row r="2877" s="96" customFormat="true" ht="13.5"/>
    <row r="2878" s="96" customFormat="true" ht="13.5"/>
    <row r="2879" s="96" customFormat="true" ht="13.5"/>
    <row r="2880" s="96" customFormat="true" ht="13.5"/>
    <row r="2881" s="96" customFormat="true" ht="13.5"/>
    <row r="2882" s="96" customFormat="true" ht="13.5"/>
    <row r="2883" s="96" customFormat="true" ht="13.5"/>
    <row r="2884" s="96" customFormat="true" ht="13.5"/>
    <row r="2885" s="96" customFormat="true" ht="13.5"/>
    <row r="2886" s="96" customFormat="true" ht="13.5"/>
    <row r="2887" s="96" customFormat="true" ht="13.5"/>
    <row r="2888" s="96" customFormat="true" ht="13.5"/>
    <row r="2889" s="96" customFormat="true" ht="13.5"/>
    <row r="2890" s="96" customFormat="true" ht="13.5"/>
    <row r="2891" s="96" customFormat="true" ht="13.5"/>
    <row r="2892" s="96" customFormat="true" ht="13.5"/>
    <row r="2893" s="96" customFormat="true" ht="13.5"/>
    <row r="2894" s="96" customFormat="true" ht="13.5"/>
    <row r="2895" s="96" customFormat="true" ht="13.5"/>
    <row r="2896" s="96" customFormat="true" ht="13.5"/>
    <row r="2897" s="96" customFormat="true" ht="13.5"/>
    <row r="2898" s="96" customFormat="true" ht="13.5"/>
    <row r="2899" s="96" customFormat="true" ht="13.5"/>
    <row r="2900" s="96" customFormat="true" ht="13.5"/>
    <row r="2901" s="96" customFormat="true" ht="13.5"/>
    <row r="2902" s="96" customFormat="true" ht="13.5"/>
    <row r="2903" s="96" customFormat="true" ht="13.5"/>
    <row r="2904" s="96" customFormat="true" ht="13.5"/>
    <row r="2905" s="96" customFormat="true" ht="13.5"/>
    <row r="2906" s="96" customFormat="true" ht="13.5"/>
    <row r="2907" s="96" customFormat="true" ht="13.5"/>
    <row r="2908" s="96" customFormat="true" ht="13.5"/>
    <row r="2909" s="96" customFormat="true" ht="13.5"/>
    <row r="2910" s="96" customFormat="true" ht="13.5"/>
    <row r="2911" s="96" customFormat="true" ht="13.5"/>
    <row r="2912" s="96" customFormat="true" ht="13.5"/>
    <row r="2913" s="96" customFormat="true" ht="13.5"/>
    <row r="2914" s="96" customFormat="true" ht="13.5"/>
    <row r="2915" s="96" customFormat="true" ht="13.5"/>
    <row r="2916" s="96" customFormat="true" ht="13.5"/>
    <row r="2917" s="96" customFormat="true" ht="13.5"/>
    <row r="2918" s="96" customFormat="true" ht="13.5"/>
    <row r="2919" s="96" customFormat="true" ht="13.5"/>
    <row r="2920" s="96" customFormat="true" ht="13.5"/>
    <row r="2921" s="96" customFormat="true" ht="13.5"/>
    <row r="2922" s="96" customFormat="true" ht="13.5"/>
    <row r="2923" s="96" customFormat="true" ht="13.5"/>
    <row r="2924" s="96" customFormat="true" ht="13.5"/>
    <row r="2925" s="96" customFormat="true" ht="13.5"/>
    <row r="2926" s="96" customFormat="true" ht="13.5"/>
    <row r="2927" s="96" customFormat="true" ht="13.5"/>
    <row r="2928" s="96" customFormat="true" ht="13.5"/>
    <row r="2929" s="96" customFormat="true" ht="13.5"/>
    <row r="2930" s="96" customFormat="true" ht="13.5"/>
    <row r="2931" s="96" customFormat="true" ht="13.5"/>
    <row r="2932" s="96" customFormat="true" ht="13.5"/>
    <row r="2933" s="96" customFormat="true" ht="13.5"/>
    <row r="2934" s="96" customFormat="true" ht="13.5"/>
    <row r="2935" s="96" customFormat="true" ht="13.5"/>
    <row r="2936" s="96" customFormat="true" ht="13.5"/>
    <row r="2937" s="96" customFormat="true" ht="13.5"/>
    <row r="2938" s="96" customFormat="true" ht="13.5"/>
    <row r="2939" s="96" customFormat="true" ht="13.5"/>
    <row r="2940" s="96" customFormat="true" ht="13.5"/>
    <row r="2941" s="96" customFormat="true" ht="13.5"/>
    <row r="2942" s="96" customFormat="true" ht="13.5"/>
    <row r="2943" s="96" customFormat="true" ht="13.5"/>
    <row r="2944" s="96" customFormat="true" ht="13.5"/>
    <row r="2945" s="96" customFormat="true" ht="13.5"/>
    <row r="2946" s="96" customFormat="true" ht="13.5"/>
    <row r="2947" s="96" customFormat="true" ht="13.5"/>
    <row r="2948" s="96" customFormat="true" ht="13.5"/>
    <row r="2949" s="96" customFormat="true" ht="13.5"/>
    <row r="2950" s="96" customFormat="true" ht="13.5"/>
    <row r="2951" s="96" customFormat="true" ht="13.5"/>
    <row r="2952" s="96" customFormat="true" ht="13.5"/>
    <row r="2953" s="96" customFormat="true" ht="13.5"/>
    <row r="2954" s="96" customFormat="true" ht="13.5"/>
    <row r="2955" s="96" customFormat="true" ht="13.5"/>
    <row r="2956" s="96" customFormat="true" ht="13.5"/>
    <row r="2957" s="96" customFormat="true" ht="13.5"/>
    <row r="2958" s="96" customFormat="true" ht="13.5"/>
    <row r="2959" s="96" customFormat="true" ht="13.5"/>
    <row r="2960" s="96" customFormat="true" ht="13.5"/>
    <row r="2961" s="96" customFormat="true" ht="13.5"/>
    <row r="2962" s="96" customFormat="true" ht="13.5"/>
    <row r="2963" s="96" customFormat="true" ht="13.5"/>
    <row r="2964" s="96" customFormat="true" ht="13.5"/>
    <row r="2965" s="96" customFormat="true" ht="13.5"/>
    <row r="2966" s="96" customFormat="true" ht="13.5"/>
    <row r="2967" s="96" customFormat="true" ht="13.5"/>
    <row r="2968" s="96" customFormat="true" ht="13.5"/>
    <row r="2969" s="96" customFormat="true" ht="13.5"/>
    <row r="2970" s="96" customFormat="true" ht="13.5"/>
    <row r="2971" s="96" customFormat="true" ht="13.5"/>
    <row r="2972" s="96" customFormat="true" ht="13.5"/>
    <row r="2973" s="96" customFormat="true" ht="13.5"/>
    <row r="2974" s="96" customFormat="true" ht="13.5"/>
    <row r="2975" s="96" customFormat="true" ht="13.5"/>
    <row r="2976" s="96" customFormat="true" ht="13.5"/>
    <row r="2977" s="96" customFormat="true" ht="13.5"/>
    <row r="2978" s="96" customFormat="true" ht="13.5"/>
    <row r="2979" s="96" customFormat="true" ht="13.5"/>
    <row r="2980" s="96" customFormat="true" ht="13.5"/>
    <row r="2981" s="96" customFormat="true" ht="13.5"/>
    <row r="2982" s="96" customFormat="true" ht="13.5"/>
    <row r="2983" s="96" customFormat="true" ht="13.5"/>
    <row r="2984" s="96" customFormat="true" ht="13.5"/>
    <row r="2985" s="96" customFormat="true" ht="13.5"/>
    <row r="2986" s="96" customFormat="true" ht="13.5"/>
    <row r="2987" s="96" customFormat="true" ht="13.5"/>
    <row r="2988" s="96" customFormat="true" ht="13.5"/>
    <row r="2989" s="96" customFormat="true" ht="13.5"/>
    <row r="2990" s="96" customFormat="true" ht="13.5"/>
    <row r="2991" s="96" customFormat="true" ht="13.5"/>
    <row r="2992" s="96" customFormat="true" ht="13.5"/>
    <row r="2993" s="96" customFormat="true" ht="13.5"/>
    <row r="2994" s="96" customFormat="true" ht="13.5"/>
    <row r="2995" s="96" customFormat="true" ht="13.5"/>
    <row r="2996" s="96" customFormat="true" ht="13.5"/>
    <row r="2997" s="96" customFormat="true" ht="13.5"/>
    <row r="2998" s="96" customFormat="true" ht="13.5"/>
    <row r="2999" s="96" customFormat="true" ht="13.5"/>
    <row r="3000" s="96" customFormat="true" ht="13.5"/>
    <row r="3001" s="96" customFormat="true" ht="13.5"/>
    <row r="3002" s="96" customFormat="true" ht="13.5"/>
    <row r="3003" s="96" customFormat="true" ht="13.5"/>
    <row r="3004" s="96" customFormat="true" ht="13.5"/>
    <row r="3005" s="96" customFormat="true" ht="13.5"/>
    <row r="3006" s="96" customFormat="true" ht="13.5"/>
    <row r="3007" s="96" customFormat="true" ht="13.5"/>
    <row r="3008" s="96" customFormat="true" ht="13.5"/>
    <row r="3009" s="96" customFormat="true" ht="13.5"/>
    <row r="3010" s="96" customFormat="true" ht="13.5"/>
    <row r="3011" s="96" customFormat="true" ht="13.5"/>
    <row r="3012" s="96" customFormat="true" ht="13.5"/>
    <row r="3013" s="96" customFormat="true" ht="13.5"/>
    <row r="3014" s="96" customFormat="true" ht="13.5"/>
    <row r="3015" s="96" customFormat="true" ht="13.5"/>
    <row r="3016" s="96" customFormat="true" ht="13.5"/>
    <row r="3017" s="96" customFormat="true" ht="13.5"/>
    <row r="3018" s="96" customFormat="true" ht="13.5"/>
    <row r="3019" s="96" customFormat="true" ht="13.5"/>
    <row r="3020" s="96" customFormat="true" ht="13.5"/>
    <row r="3021" s="96" customFormat="true" ht="13.5"/>
    <row r="3022" s="96" customFormat="true" ht="13.5"/>
    <row r="3023" s="96" customFormat="true" ht="13.5"/>
    <row r="3024" s="96" customFormat="true" ht="13.5"/>
    <row r="3025" s="96" customFormat="true" ht="13.5"/>
    <row r="3026" s="96" customFormat="true" ht="13.5"/>
    <row r="3027" s="96" customFormat="true" ht="13.5"/>
    <row r="3028" s="96" customFormat="true" ht="13.5"/>
    <row r="3029" s="96" customFormat="true" ht="13.5"/>
    <row r="3030" s="96" customFormat="true" ht="13.5"/>
    <row r="3031" s="96" customFormat="true" ht="13.5"/>
    <row r="3032" s="96" customFormat="true" ht="13.5"/>
    <row r="3033" s="96" customFormat="true" ht="13.5"/>
    <row r="3034" s="96" customFormat="true" ht="13.5"/>
    <row r="3035" s="96" customFormat="true" ht="13.5"/>
    <row r="3036" s="96" customFormat="true" ht="13.5"/>
    <row r="3037" s="96" customFormat="true" ht="13.5"/>
    <row r="3038" s="96" customFormat="true" ht="13.5"/>
    <row r="3039" s="96" customFormat="true" ht="13.5"/>
    <row r="3040" s="96" customFormat="true" ht="13.5"/>
    <row r="3041" s="96" customFormat="true" ht="13.5"/>
    <row r="3042" s="96" customFormat="true" ht="13.5"/>
    <row r="3043" s="96" customFormat="true" ht="13.5"/>
    <row r="3044" s="96" customFormat="true" ht="13.5"/>
    <row r="3045" s="96" customFormat="true" ht="13.5"/>
    <row r="3046" s="96" customFormat="true" ht="13.5"/>
    <row r="3047" s="96" customFormat="true" ht="13.5"/>
    <row r="3048" s="96" customFormat="true" ht="13.5"/>
    <row r="3049" s="96" customFormat="true" ht="13.5"/>
    <row r="3050" s="96" customFormat="true" ht="13.5"/>
    <row r="3051" s="96" customFormat="true" ht="13.5"/>
    <row r="3052" s="96" customFormat="true" ht="13.5"/>
    <row r="3053" s="96" customFormat="true" ht="13.5"/>
    <row r="3054" s="96" customFormat="true" ht="13.5"/>
    <row r="3055" s="96" customFormat="true" ht="13.5"/>
    <row r="3056" s="96" customFormat="true" ht="13.5"/>
    <row r="3057" s="96" customFormat="true" ht="13.5"/>
    <row r="3058" s="96" customFormat="true" ht="13.5"/>
    <row r="3059" s="96" customFormat="true" ht="13.5"/>
    <row r="3060" s="96" customFormat="true" ht="13.5"/>
    <row r="3061" s="96" customFormat="true" ht="13.5"/>
    <row r="3062" s="96" customFormat="true" ht="13.5"/>
    <row r="3063" s="96" customFormat="true" ht="13.5"/>
    <row r="3064" s="96" customFormat="true" ht="13.5"/>
    <row r="3065" s="96" customFormat="true" ht="13.5"/>
    <row r="3066" s="96" customFormat="true" ht="13.5"/>
    <row r="3067" s="96" customFormat="true" ht="13.5"/>
    <row r="3068" s="96" customFormat="true" ht="13.5"/>
    <row r="3069" s="96" customFormat="true" ht="13.5"/>
    <row r="3070" s="96" customFormat="true" ht="13.5"/>
    <row r="3071" s="96" customFormat="true" ht="13.5"/>
    <row r="3072" s="96" customFormat="true" ht="13.5"/>
    <row r="3073" s="96" customFormat="true" ht="13.5"/>
    <row r="3074" s="96" customFormat="true" ht="13.5"/>
    <row r="3075" s="96" customFormat="true" ht="13.5"/>
    <row r="3076" s="96" customFormat="true" ht="13.5"/>
    <row r="3077" s="96" customFormat="true" ht="13.5"/>
    <row r="3078" s="96" customFormat="true" ht="13.5"/>
    <row r="3079" s="96" customFormat="true" ht="13.5"/>
    <row r="3080" s="96" customFormat="true" ht="13.5"/>
    <row r="3081" s="96" customFormat="true" ht="13.5"/>
    <row r="3082" s="96" customFormat="true" ht="13.5"/>
    <row r="3083" s="96" customFormat="true" ht="13.5"/>
    <row r="3084" s="96" customFormat="true" ht="13.5"/>
    <row r="3085" s="96" customFormat="true" ht="13.5"/>
    <row r="3086" s="96" customFormat="true" ht="13.5"/>
    <row r="3087" s="96" customFormat="true" ht="13.5"/>
    <row r="3088" s="96" customFormat="true" ht="13.5"/>
    <row r="3089" s="96" customFormat="true" ht="13.5"/>
    <row r="3090" s="96" customFormat="true" ht="13.5"/>
    <row r="3091" s="96" customFormat="true" ht="13.5"/>
    <row r="3092" s="96" customFormat="true" ht="13.5"/>
    <row r="3093" s="96" customFormat="true" ht="13.5"/>
    <row r="3094" s="96" customFormat="true" ht="13.5"/>
    <row r="3095" s="96" customFormat="true" ht="13.5"/>
    <row r="3096" s="96" customFormat="true" ht="13.5"/>
    <row r="3097" s="96" customFormat="true" ht="13.5"/>
    <row r="3098" s="96" customFormat="true" ht="13.5"/>
    <row r="3099" s="96" customFormat="true" ht="13.5"/>
    <row r="3100" s="96" customFormat="true" ht="13.5"/>
    <row r="3101" s="96" customFormat="true" ht="13.5"/>
    <row r="3102" s="96" customFormat="true" ht="13.5"/>
    <row r="3103" s="96" customFormat="true" ht="13.5"/>
    <row r="3104" s="96" customFormat="true" ht="13.5"/>
    <row r="3105" s="96" customFormat="true" ht="13.5"/>
    <row r="3106" s="96" customFormat="true" ht="13.5"/>
    <row r="3107" s="96" customFormat="true" ht="13.5"/>
    <row r="3108" s="96" customFormat="true" ht="13.5"/>
    <row r="3109" s="96" customFormat="true" ht="13.5"/>
    <row r="3110" s="96" customFormat="true" ht="13.5"/>
    <row r="3111" s="96" customFormat="true" ht="13.5"/>
    <row r="3112" s="96" customFormat="true" ht="13.5"/>
    <row r="3113" s="96" customFormat="true" ht="13.5"/>
    <row r="3114" s="96" customFormat="true" ht="13.5"/>
    <row r="3115" s="96" customFormat="true" ht="13.5"/>
    <row r="3116" s="96" customFormat="true" ht="13.5"/>
    <row r="3117" s="96" customFormat="true" ht="13.5"/>
    <row r="3118" s="96" customFormat="true" ht="13.5"/>
    <row r="3119" s="96" customFormat="true" ht="13.5"/>
    <row r="3120" s="96" customFormat="true" ht="13.5"/>
    <row r="3121" s="96" customFormat="true" ht="13.5"/>
    <row r="3122" s="96" customFormat="true" ht="13.5"/>
    <row r="3123" s="96" customFormat="true" ht="13.5"/>
    <row r="3124" s="96" customFormat="true" ht="13.5"/>
    <row r="3125" s="96" customFormat="true" ht="13.5"/>
    <row r="3126" s="96" customFormat="true" ht="13.5"/>
    <row r="3127" s="96" customFormat="true" ht="13.5"/>
    <row r="3128" s="96" customFormat="true" ht="13.5"/>
    <row r="3129" s="96" customFormat="true" ht="13.5"/>
    <row r="3130" s="96" customFormat="true" ht="13.5"/>
    <row r="3131" s="96" customFormat="true" ht="13.5"/>
    <row r="3132" s="96" customFormat="true" ht="13.5"/>
    <row r="3133" s="96" customFormat="true" ht="13.5"/>
    <row r="3134" s="96" customFormat="true" ht="13.5"/>
    <row r="3135" s="96" customFormat="true" ht="13.5"/>
    <row r="3136" s="96" customFormat="true" ht="13.5"/>
    <row r="3137" s="96" customFormat="true" ht="13.5"/>
    <row r="3138" s="96" customFormat="true" ht="13.5"/>
    <row r="3139" s="96" customFormat="true" ht="13.5"/>
    <row r="3140" s="96" customFormat="true" ht="13.5"/>
    <row r="3141" s="96" customFormat="true" ht="13.5"/>
    <row r="3142" s="96" customFormat="true" ht="13.5"/>
    <row r="3143" s="96" customFormat="true" ht="13.5"/>
    <row r="3144" s="96" customFormat="true" ht="13.5"/>
    <row r="3145" s="96" customFormat="true" ht="13.5"/>
    <row r="3146" s="96" customFormat="true" ht="13.5"/>
    <row r="3147" s="96" customFormat="true" ht="13.5"/>
    <row r="3148" s="96" customFormat="true" ht="13.5"/>
    <row r="3149" s="96" customFormat="true" ht="13.5"/>
    <row r="3150" s="96" customFormat="true" ht="13.5"/>
    <row r="3151" s="96" customFormat="true" ht="13.5"/>
    <row r="3152" s="96" customFormat="true" ht="13.5"/>
    <row r="3153" s="96" customFormat="true" ht="13.5"/>
    <row r="3154" s="96" customFormat="true" ht="13.5"/>
    <row r="3155" s="96" customFormat="true" ht="13.5"/>
    <row r="3156" s="96" customFormat="true" ht="13.5"/>
    <row r="3157" s="96" customFormat="true" ht="13.5"/>
    <row r="3158" s="96" customFormat="true" ht="13.5"/>
    <row r="3159" s="96" customFormat="true" ht="13.5"/>
    <row r="3160" s="96" customFormat="true" ht="13.5"/>
    <row r="3161" s="96" customFormat="true" ht="13.5"/>
    <row r="3162" s="96" customFormat="true" ht="13.5"/>
    <row r="3163" s="96" customFormat="true" ht="13.5"/>
    <row r="3164" s="96" customFormat="true" ht="13.5"/>
    <row r="3165" s="96" customFormat="true" ht="13.5"/>
    <row r="3166" s="96" customFormat="true" ht="13.5"/>
    <row r="3167" s="96" customFormat="true" ht="13.5"/>
    <row r="3168" s="96" customFormat="true" ht="13.5"/>
    <row r="3169" s="96" customFormat="true" ht="13.5"/>
    <row r="3170" s="96" customFormat="true" ht="13.5"/>
    <row r="3171" s="96" customFormat="true" ht="13.5"/>
    <row r="3172" s="96" customFormat="true" ht="13.5"/>
    <row r="3173" s="96" customFormat="true" ht="13.5"/>
    <row r="3174" s="96" customFormat="true" ht="13.5"/>
    <row r="3175" s="96" customFormat="true" ht="13.5"/>
    <row r="3176" s="96" customFormat="true" ht="13.5"/>
    <row r="3177" s="96" customFormat="true" ht="13.5"/>
    <row r="3178" s="96" customFormat="true" ht="13.5"/>
    <row r="3179" s="96" customFormat="true" ht="13.5"/>
    <row r="3180" s="96" customFormat="true" ht="13.5"/>
    <row r="3181" s="96" customFormat="true" ht="13.5"/>
    <row r="3182" s="96" customFormat="true" ht="13.5"/>
    <row r="3183" s="96" customFormat="true" ht="13.5"/>
    <row r="3184" s="96" customFormat="true" ht="13.5"/>
    <row r="3185" s="96" customFormat="true" ht="13.5"/>
    <row r="3186" s="96" customFormat="true" ht="13.5"/>
    <row r="3187" s="96" customFormat="true" ht="13.5"/>
    <row r="3188" s="96" customFormat="true" ht="13.5"/>
    <row r="3189" s="96" customFormat="true" ht="13.5"/>
    <row r="3190" s="96" customFormat="true" ht="13.5"/>
    <row r="3191" s="96" customFormat="true" ht="13.5"/>
    <row r="3192" s="96" customFormat="true" ht="13.5"/>
    <row r="3193" s="96" customFormat="true" ht="13.5"/>
    <row r="3194" s="96" customFormat="true" ht="13.5"/>
    <row r="3195" s="96" customFormat="true" ht="13.5"/>
    <row r="3196" s="96" customFormat="true" ht="13.5"/>
    <row r="3197" s="96" customFormat="true" ht="13.5"/>
    <row r="3198" s="96" customFormat="true" ht="13.5"/>
    <row r="3199" s="96" customFormat="true" ht="13.5"/>
    <row r="3200" s="96" customFormat="true" ht="13.5"/>
    <row r="3201" s="96" customFormat="true" ht="13.5"/>
    <row r="3202" s="96" customFormat="true" ht="13.5"/>
    <row r="3203" s="96" customFormat="true" ht="13.5"/>
    <row r="3204" s="96" customFormat="true" ht="13.5"/>
    <row r="3205" s="96" customFormat="true" ht="13.5"/>
    <row r="3206" s="96" customFormat="true" ht="13.5"/>
    <row r="3207" s="96" customFormat="true" ht="13.5"/>
    <row r="3208" s="96" customFormat="true" ht="13.5"/>
    <row r="3209" s="96" customFormat="true" ht="13.5"/>
    <row r="3210" s="96" customFormat="true" ht="13.5"/>
    <row r="3211" s="96" customFormat="true" ht="13.5"/>
    <row r="3212" s="96" customFormat="true" ht="13.5"/>
    <row r="3213" s="96" customFormat="true" ht="13.5"/>
    <row r="3214" s="96" customFormat="true" ht="13.5"/>
    <row r="3215" s="96" customFormat="true" ht="13.5"/>
    <row r="3216" s="96" customFormat="true" ht="13.5"/>
    <row r="3217" s="96" customFormat="true" ht="13.5"/>
    <row r="3218" s="96" customFormat="true" ht="13.5"/>
    <row r="3219" s="96" customFormat="true" ht="13.5"/>
    <row r="3220" s="96" customFormat="true" ht="13.5"/>
    <row r="3221" s="96" customFormat="true" ht="13.5"/>
    <row r="3222" s="96" customFormat="true" ht="13.5"/>
    <row r="3223" s="96" customFormat="true" ht="13.5"/>
    <row r="3224" s="96" customFormat="true" ht="13.5"/>
    <row r="3225" s="96" customFormat="true" ht="13.5"/>
    <row r="3226" s="96" customFormat="true" ht="13.5"/>
    <row r="3227" s="96" customFormat="true" ht="13.5"/>
    <row r="3228" s="96" customFormat="true" ht="13.5"/>
    <row r="3229" s="96" customFormat="true" ht="13.5"/>
    <row r="3230" s="96" customFormat="true" ht="13.5"/>
    <row r="3231" s="96" customFormat="true" ht="13.5"/>
    <row r="3232" s="96" customFormat="true" ht="13.5"/>
    <row r="3233" s="96" customFormat="true" ht="13.5"/>
    <row r="3234" s="96" customFormat="true" ht="13.5"/>
    <row r="3235" s="96" customFormat="true" ht="13.5"/>
    <row r="3236" s="96" customFormat="true" ht="13.5"/>
    <row r="3237" s="96" customFormat="true" ht="13.5"/>
    <row r="3238" s="96" customFormat="true" ht="13.5"/>
    <row r="3239" s="96" customFormat="true" ht="13.5"/>
    <row r="3240" s="96" customFormat="true" ht="13.5"/>
    <row r="3241" s="96" customFormat="true" ht="13.5"/>
    <row r="3242" s="96" customFormat="true" ht="13.5"/>
    <row r="3243" s="96" customFormat="true" ht="13.5"/>
    <row r="3244" s="96" customFormat="true" ht="13.5"/>
    <row r="3245" s="96" customFormat="true" ht="13.5"/>
    <row r="3246" s="96" customFormat="true" ht="13.5"/>
    <row r="3247" s="96" customFormat="true" ht="13.5"/>
    <row r="3248" s="96" customFormat="true" ht="13.5"/>
    <row r="3249" s="96" customFormat="true" ht="13.5"/>
    <row r="3250" s="96" customFormat="true" ht="13.5"/>
    <row r="3251" s="96" customFormat="true" ht="13.5"/>
    <row r="3252" s="96" customFormat="true" ht="13.5"/>
    <row r="3253" s="96" customFormat="true" ht="13.5"/>
    <row r="3254" s="96" customFormat="true" ht="13.5"/>
    <row r="3255" s="96" customFormat="true" ht="13.5"/>
    <row r="3256" s="96" customFormat="true" ht="13.5"/>
    <row r="3257" s="96" customFormat="true" ht="13.5"/>
    <row r="3258" s="96" customFormat="true" ht="13.5"/>
    <row r="3259" s="96" customFormat="true" ht="13.5"/>
    <row r="3260" s="96" customFormat="true" ht="13.5"/>
    <row r="3261" s="96" customFormat="true" ht="13.5"/>
    <row r="3262" s="96" customFormat="true" ht="13.5"/>
    <row r="3263" s="96" customFormat="true" ht="13.5"/>
    <row r="3264" s="96" customFormat="true" ht="13.5"/>
    <row r="3265" s="96" customFormat="true" ht="13.5"/>
    <row r="3266" s="96" customFormat="true" ht="13.5"/>
    <row r="3267" s="96" customFormat="true" ht="13.5"/>
    <row r="3268" s="96" customFormat="true" ht="13.5"/>
    <row r="3269" s="96" customFormat="true" ht="13.5"/>
    <row r="3270" s="96" customFormat="true" ht="13.5"/>
    <row r="3271" s="96" customFormat="true" ht="13.5"/>
    <row r="3272" s="96" customFormat="true" ht="13.5"/>
    <row r="3273" s="96" customFormat="true" ht="13.5"/>
    <row r="3274" s="96" customFormat="true" ht="13.5"/>
    <row r="3275" s="96" customFormat="true" ht="13.5"/>
    <row r="3276" s="96" customFormat="true" ht="13.5"/>
    <row r="3277" s="96" customFormat="true" ht="13.5"/>
    <row r="3278" s="96" customFormat="true" ht="13.5"/>
    <row r="3279" s="96" customFormat="true" ht="13.5"/>
    <row r="3280" s="96" customFormat="true" ht="13.5"/>
    <row r="3281" s="96" customFormat="true" ht="13.5"/>
    <row r="3282" s="96" customFormat="true" ht="13.5"/>
    <row r="3283" s="96" customFormat="true" ht="13.5"/>
    <row r="3284" s="96" customFormat="true" ht="13.5"/>
    <row r="3285" s="96" customFormat="true" ht="13.5"/>
    <row r="3286" s="96" customFormat="true" ht="13.5"/>
    <row r="3287" s="96" customFormat="true" ht="13.5"/>
    <row r="3288" s="96" customFormat="true" ht="13.5"/>
    <row r="3289" s="96" customFormat="true" ht="13.5"/>
    <row r="3290" s="96" customFormat="true" ht="13.5"/>
    <row r="3291" s="96" customFormat="true" ht="13.5"/>
    <row r="3292" s="96" customFormat="true" ht="13.5"/>
    <row r="3293" s="96" customFormat="true" ht="13.5"/>
    <row r="3294" s="96" customFormat="true" ht="13.5"/>
    <row r="3295" s="96" customFormat="true" ht="13.5"/>
    <row r="3296" s="96" customFormat="true" ht="13.5"/>
    <row r="3297" s="96" customFormat="true" ht="13.5"/>
    <row r="3298" s="96" customFormat="true" ht="13.5"/>
    <row r="3299" s="96" customFormat="true" ht="13.5"/>
    <row r="3300" s="96" customFormat="true" ht="13.5"/>
    <row r="3301" s="96" customFormat="true" ht="13.5"/>
    <row r="3302" s="96" customFormat="true" ht="13.5"/>
    <row r="3303" s="96" customFormat="true" ht="13.5"/>
    <row r="3304" s="96" customFormat="true" ht="13.5"/>
    <row r="3305" s="96" customFormat="true" ht="13.5"/>
    <row r="3306" s="96" customFormat="true" ht="13.5"/>
    <row r="3307" s="96" customFormat="true" ht="13.5"/>
    <row r="3308" s="96" customFormat="true" ht="13.5"/>
    <row r="3309" s="96" customFormat="true" ht="13.5"/>
    <row r="3310" s="96" customFormat="true" ht="13.5"/>
    <row r="3311" s="96" customFormat="true" ht="13.5"/>
    <row r="3312" s="96" customFormat="true" ht="13.5"/>
    <row r="3313" s="96" customFormat="true" ht="13.5"/>
    <row r="3314" s="96" customFormat="true" ht="13.5"/>
    <row r="3315" s="96" customFormat="true" ht="13.5"/>
    <row r="3316" s="96" customFormat="true" ht="13.5"/>
    <row r="3317" s="96" customFormat="true" ht="13.5"/>
    <row r="3318" s="96" customFormat="true" ht="13.5"/>
    <row r="3319" s="96" customFormat="true" ht="13.5"/>
    <row r="3320" s="96" customFormat="true" ht="13.5"/>
    <row r="3321" s="96" customFormat="true" ht="13.5"/>
    <row r="3322" s="96" customFormat="true" ht="13.5"/>
    <row r="3323" s="96" customFormat="true" ht="13.5"/>
    <row r="3324" s="96" customFormat="true" ht="13.5"/>
    <row r="3325" s="96" customFormat="true" ht="13.5"/>
    <row r="3326" s="96" customFormat="true" ht="13.5"/>
    <row r="3327" s="96" customFormat="true" ht="13.5"/>
    <row r="3328" s="96" customFormat="true" ht="13.5"/>
    <row r="3329" s="96" customFormat="true" ht="13.5"/>
    <row r="3330" s="96" customFormat="true" ht="13.5"/>
    <row r="3331" s="96" customFormat="true" ht="13.5"/>
    <row r="3332" s="96" customFormat="true" ht="13.5"/>
    <row r="3333" s="96" customFormat="true" ht="13.5"/>
    <row r="3334" s="96" customFormat="true" ht="13.5"/>
    <row r="3335" s="96" customFormat="true" ht="13.5"/>
    <row r="3336" s="96" customFormat="true" ht="13.5"/>
    <row r="3337" s="96" customFormat="true" ht="13.5"/>
    <row r="3338" s="96" customFormat="true" ht="13.5"/>
    <row r="3339" s="96" customFormat="true" ht="13.5"/>
    <row r="3340" s="96" customFormat="true" ht="13.5"/>
    <row r="3341" s="96" customFormat="true" ht="13.5"/>
    <row r="3342" s="96" customFormat="true" ht="13.5"/>
    <row r="3343" s="96" customFormat="true" ht="13.5"/>
    <row r="3344" s="96" customFormat="true" ht="13.5"/>
    <row r="3345" s="96" customFormat="true" ht="13.5"/>
    <row r="3346" s="96" customFormat="true" ht="13.5"/>
    <row r="3347" s="96" customFormat="true" ht="13.5"/>
    <row r="3348" s="96" customFormat="true" ht="13.5"/>
    <row r="3349" s="96" customFormat="true" ht="13.5"/>
    <row r="3350" s="96" customFormat="true" ht="13.5"/>
    <row r="3351" s="96" customFormat="true" ht="13.5"/>
    <row r="3352" s="96" customFormat="true" ht="13.5"/>
    <row r="3353" s="96" customFormat="true" ht="13.5"/>
    <row r="3354" s="96" customFormat="true" ht="13.5"/>
    <row r="3355" s="96" customFormat="true" ht="13.5"/>
    <row r="3356" s="96" customFormat="true" ht="13.5"/>
    <row r="3357" s="96" customFormat="true" ht="13.5"/>
    <row r="3358" s="96" customFormat="true" ht="13.5"/>
    <row r="3359" s="96" customFormat="true" ht="13.5"/>
    <row r="3360" s="96" customFormat="true" ht="13.5"/>
    <row r="3361" s="96" customFormat="true" ht="13.5"/>
    <row r="3362" s="96" customFormat="true" ht="13.5"/>
    <row r="3363" s="96" customFormat="true" ht="13.5"/>
    <row r="3364" s="96" customFormat="true" ht="13.5"/>
    <row r="3365" s="96" customFormat="true" ht="13.5"/>
    <row r="3366" s="96" customFormat="true" ht="13.5"/>
    <row r="3367" s="96" customFormat="true" ht="13.5"/>
    <row r="3368" s="96" customFormat="true" ht="13.5"/>
    <row r="3369" s="96" customFormat="true" ht="13.5"/>
    <row r="3370" s="96" customFormat="true" ht="13.5"/>
    <row r="3371" s="96" customFormat="true" ht="13.5"/>
    <row r="3372" s="96" customFormat="true" ht="13.5"/>
    <row r="3373" s="96" customFormat="true" ht="13.5"/>
    <row r="3374" s="96" customFormat="true" ht="13.5"/>
    <row r="3375" s="96" customFormat="true" ht="13.5"/>
    <row r="3376" s="96" customFormat="true" ht="13.5"/>
    <row r="3377" s="96" customFormat="true" ht="13.5"/>
    <row r="3378" s="96" customFormat="true" ht="13.5"/>
    <row r="3379" s="96" customFormat="true" ht="13.5"/>
    <row r="3380" s="96" customFormat="true" ht="13.5"/>
    <row r="3381" s="96" customFormat="true" ht="13.5"/>
    <row r="3382" s="96" customFormat="true" ht="13.5"/>
    <row r="3383" s="96" customFormat="true" ht="13.5"/>
    <row r="3384" s="96" customFormat="true" ht="13.5"/>
    <row r="3385" s="96" customFormat="true" ht="13.5"/>
    <row r="3386" s="96" customFormat="true" ht="13.5"/>
    <row r="3387" s="96" customFormat="true" ht="13.5"/>
    <row r="3388" s="96" customFormat="true" ht="13.5"/>
    <row r="3389" s="96" customFormat="true" ht="13.5"/>
    <row r="3390" s="96" customFormat="true" ht="13.5"/>
    <row r="3391" s="96" customFormat="true" ht="13.5"/>
    <row r="3392" s="96" customFormat="true" ht="13.5"/>
    <row r="3393" s="96" customFormat="true" ht="13.5"/>
    <row r="3394" s="96" customFormat="true" ht="13.5"/>
    <row r="3395" s="96" customFormat="true" ht="13.5"/>
    <row r="3396" s="96" customFormat="true" ht="13.5"/>
    <row r="3397" s="96" customFormat="true" ht="13.5"/>
    <row r="3398" s="96" customFormat="true" ht="13.5"/>
    <row r="3399" s="96" customFormat="true" ht="13.5"/>
    <row r="3400" s="96" customFormat="true" ht="13.5"/>
    <row r="3401" s="96" customFormat="true" ht="13.5"/>
    <row r="3402" s="96" customFormat="true" ht="13.5"/>
    <row r="3403" s="96" customFormat="true" ht="13.5"/>
    <row r="3404" s="96" customFormat="true" ht="13.5"/>
    <row r="3405" s="96" customFormat="true" ht="13.5"/>
    <row r="3406" s="96" customFormat="true" ht="13.5"/>
    <row r="3407" s="96" customFormat="true" ht="13.5"/>
    <row r="3408" s="96" customFormat="true" ht="13.5"/>
    <row r="3409" s="96" customFormat="true" ht="13.5"/>
    <row r="3410" s="96" customFormat="true" ht="13.5"/>
    <row r="3411" s="96" customFormat="true" ht="13.5"/>
    <row r="3412" s="96" customFormat="true" ht="13.5"/>
    <row r="3413" s="96" customFormat="true" ht="13.5"/>
    <row r="3414" s="96" customFormat="true" ht="13.5"/>
    <row r="3415" s="96" customFormat="true" ht="13.5"/>
    <row r="3416" s="96" customFormat="true" ht="13.5"/>
    <row r="3417" s="96" customFormat="true" ht="13.5"/>
    <row r="3418" s="96" customFormat="true" ht="13.5"/>
    <row r="3419" s="96" customFormat="true" ht="13.5"/>
    <row r="3420" s="96" customFormat="true" ht="13.5"/>
    <row r="3421" s="96" customFormat="true" ht="13.5"/>
    <row r="3422" s="96" customFormat="true" ht="13.5"/>
    <row r="3423" s="96" customFormat="true" ht="13.5"/>
    <row r="3424" s="96" customFormat="true" ht="13.5"/>
    <row r="3425" s="96" customFormat="true" ht="13.5"/>
    <row r="3426" s="96" customFormat="true" ht="13.5"/>
    <row r="3427" s="96" customFormat="true" ht="13.5"/>
    <row r="3428" s="96" customFormat="true" ht="13.5"/>
    <row r="3429" s="96" customFormat="true" ht="13.5"/>
    <row r="3430" s="96" customFormat="true" ht="13.5"/>
    <row r="3431" s="96" customFormat="true" ht="13.5"/>
    <row r="3432" s="96" customFormat="true" ht="13.5"/>
    <row r="3433" s="96" customFormat="true" ht="13.5"/>
    <row r="3434" s="96" customFormat="true" ht="13.5"/>
    <row r="3435" s="96" customFormat="true" ht="13.5"/>
    <row r="3436" s="96" customFormat="true" ht="13.5"/>
    <row r="3437" s="96" customFormat="true" ht="13.5"/>
    <row r="3438" s="96" customFormat="true" ht="13.5"/>
    <row r="3439" s="96" customFormat="true" ht="13.5"/>
    <row r="3440" s="96" customFormat="true" ht="13.5"/>
    <row r="3441" s="96" customFormat="true" ht="13.5"/>
    <row r="3442" s="96" customFormat="true" ht="13.5"/>
    <row r="3443" s="96" customFormat="true" ht="13.5"/>
    <row r="3444" s="96" customFormat="true" ht="13.5"/>
    <row r="3445" s="96" customFormat="true" ht="13.5"/>
    <row r="3446" s="96" customFormat="true" ht="13.5"/>
    <row r="3447" s="96" customFormat="true" ht="13.5"/>
    <row r="3448" s="96" customFormat="true" ht="13.5"/>
    <row r="3449" s="96" customFormat="true" ht="13.5"/>
    <row r="3450" s="96" customFormat="true" ht="13.5"/>
    <row r="3451" s="96" customFormat="true" ht="13.5"/>
    <row r="3452" s="96" customFormat="true" ht="13.5"/>
    <row r="3453" s="96" customFormat="true" ht="13.5"/>
    <row r="3454" s="96" customFormat="true" ht="13.5"/>
    <row r="3455" s="96" customFormat="true" ht="13.5"/>
    <row r="3456" s="96" customFormat="true" ht="13.5"/>
    <row r="3457" s="96" customFormat="true" ht="13.5"/>
    <row r="3458" s="96" customFormat="true" ht="13.5"/>
    <row r="3459" s="96" customFormat="true" ht="13.5"/>
    <row r="3460" s="96" customFormat="true" ht="13.5"/>
    <row r="3461" s="96" customFormat="true" ht="13.5"/>
    <row r="3462" s="96" customFormat="true" ht="13.5"/>
    <row r="3463" s="96" customFormat="true" ht="13.5"/>
    <row r="3464" s="96" customFormat="true" ht="13.5"/>
    <row r="3465" s="96" customFormat="true" ht="13.5"/>
    <row r="3466" s="96" customFormat="true" ht="13.5"/>
    <row r="3467" s="96" customFormat="true" ht="13.5"/>
    <row r="3468" s="96" customFormat="true" ht="13.5"/>
    <row r="3469" s="96" customFormat="true" ht="13.5"/>
    <row r="3470" s="96" customFormat="true" ht="13.5"/>
    <row r="3471" s="96" customFormat="true" ht="13.5"/>
    <row r="3472" s="96" customFormat="true" ht="13.5"/>
    <row r="3473" s="96" customFormat="true" ht="13.5"/>
    <row r="3474" s="96" customFormat="true" ht="13.5"/>
    <row r="3475" s="96" customFormat="true" ht="13.5"/>
    <row r="3476" s="96" customFormat="true" ht="13.5"/>
    <row r="3477" s="96" customFormat="true" ht="13.5"/>
    <row r="3478" s="96" customFormat="true" ht="13.5"/>
    <row r="3479" s="96" customFormat="true" ht="13.5"/>
    <row r="3480" s="96" customFormat="true" ht="13.5"/>
    <row r="3481" s="96" customFormat="true" ht="13.5"/>
    <row r="3482" s="96" customFormat="true" ht="13.5"/>
    <row r="3483" s="96" customFormat="true" ht="13.5"/>
    <row r="3484" s="96" customFormat="true" ht="13.5"/>
    <row r="3485" s="96" customFormat="true" ht="13.5"/>
    <row r="3486" s="96" customFormat="true" ht="13.5"/>
    <row r="3487" s="96" customFormat="true" ht="13.5"/>
    <row r="3488" s="96" customFormat="true" ht="13.5"/>
    <row r="3489" s="96" customFormat="true" ht="13.5"/>
    <row r="3490" s="96" customFormat="true" ht="13.5"/>
    <row r="3491" s="96" customFormat="true" ht="13.5"/>
    <row r="3492" s="96" customFormat="true" ht="13.5"/>
    <row r="3493" s="96" customFormat="true" ht="13.5"/>
    <row r="3494" s="96" customFormat="true" ht="13.5"/>
    <row r="3495" s="96" customFormat="true" ht="13.5"/>
    <row r="3496" s="96" customFormat="true" ht="13.5"/>
    <row r="3497" s="96" customFormat="true" ht="13.5"/>
    <row r="3498" s="96" customFormat="true" ht="13.5"/>
    <row r="3499" s="96" customFormat="true" ht="13.5"/>
    <row r="3500" s="96" customFormat="true" ht="13.5"/>
    <row r="3501" s="96" customFormat="true" ht="13.5"/>
    <row r="3502" s="96" customFormat="true" ht="13.5"/>
    <row r="3503" s="96" customFormat="true" ht="13.5"/>
    <row r="3504" s="96" customFormat="true" ht="13.5"/>
    <row r="3505" s="96" customFormat="true" ht="13.5"/>
    <row r="3506" s="96" customFormat="true" ht="13.5"/>
    <row r="3507" s="96" customFormat="true" ht="13.5"/>
    <row r="3508" s="96" customFormat="true" ht="13.5"/>
    <row r="3509" s="96" customFormat="true" ht="13.5"/>
    <row r="3510" s="96" customFormat="true" ht="13.5"/>
    <row r="3511" s="96" customFormat="true" ht="13.5"/>
    <row r="3512" s="96" customFormat="true" ht="13.5"/>
    <row r="3513" s="96" customFormat="true" ht="13.5"/>
    <row r="3514" s="96" customFormat="true" ht="13.5"/>
    <row r="3515" s="96" customFormat="true" ht="13.5"/>
    <row r="3516" s="96" customFormat="true" ht="13.5"/>
    <row r="3517" s="96" customFormat="true" ht="13.5"/>
    <row r="3518" s="96" customFormat="true" ht="13.5"/>
    <row r="3519" s="96" customFormat="true" ht="13.5"/>
    <row r="3520" s="96" customFormat="true" ht="13.5"/>
    <row r="3521" s="96" customFormat="true" ht="13.5"/>
    <row r="3522" s="96" customFormat="true" ht="13.5"/>
    <row r="3523" s="96" customFormat="true" ht="13.5"/>
    <row r="3524" s="96" customFormat="true" ht="13.5"/>
    <row r="3525" s="96" customFormat="true" ht="13.5"/>
    <row r="3526" s="96" customFormat="true" ht="13.5"/>
    <row r="3527" s="96" customFormat="true" ht="13.5"/>
    <row r="3528" s="96" customFormat="true" ht="13.5"/>
    <row r="3529" s="96" customFormat="true" ht="13.5"/>
    <row r="3530" s="96" customFormat="true" ht="13.5"/>
    <row r="3531" s="96" customFormat="true" ht="13.5"/>
    <row r="3532" s="96" customFormat="true" ht="13.5"/>
    <row r="3533" s="96" customFormat="true" ht="13.5"/>
    <row r="3534" s="96" customFormat="true" ht="13.5"/>
    <row r="3535" s="96" customFormat="true" ht="13.5"/>
    <row r="3536" s="96" customFormat="true" ht="13.5"/>
    <row r="3537" s="96" customFormat="true" ht="13.5"/>
    <row r="3538" s="96" customFormat="true" ht="13.5"/>
    <row r="3539" s="96" customFormat="true" ht="13.5"/>
    <row r="3540" s="96" customFormat="true" ht="13.5"/>
    <row r="3541" s="96" customFormat="true" ht="13.5"/>
    <row r="3542" s="96" customFormat="true" ht="13.5"/>
    <row r="3543" s="96" customFormat="true" ht="13.5"/>
    <row r="3544" s="96" customFormat="true" ht="13.5"/>
    <row r="3545" s="96" customFormat="true" ht="13.5"/>
    <row r="3546" s="96" customFormat="true" ht="13.5"/>
    <row r="3547" s="96" customFormat="true" ht="13.5"/>
    <row r="3548" s="96" customFormat="true" ht="13.5"/>
    <row r="3549" s="96" customFormat="true" ht="13.5"/>
    <row r="3550" s="96" customFormat="true" ht="13.5"/>
    <row r="3551" s="96" customFormat="true" ht="13.5"/>
    <row r="3552" s="96" customFormat="true" ht="13.5"/>
    <row r="3553" s="96" customFormat="true" ht="13.5"/>
    <row r="3554" s="96" customFormat="true" ht="13.5"/>
    <row r="3555" s="96" customFormat="true" ht="13.5"/>
    <row r="3556" s="96" customFormat="true" ht="13.5"/>
    <row r="3557" s="96" customFormat="true" ht="13.5"/>
    <row r="3558" s="96" customFormat="true" ht="13.5"/>
    <row r="3559" s="96" customFormat="true" ht="13.5"/>
    <row r="3560" s="96" customFormat="true" ht="13.5"/>
    <row r="3561" s="96" customFormat="true" ht="13.5"/>
    <row r="3562" s="96" customFormat="true" ht="13.5"/>
    <row r="3563" s="96" customFormat="true" ht="13.5"/>
    <row r="3564" s="96" customFormat="true" ht="13.5"/>
    <row r="3565" s="96" customFormat="true" ht="13.5"/>
    <row r="3566" s="96" customFormat="true" ht="13.5"/>
    <row r="3567" s="96" customFormat="true" ht="13.5"/>
    <row r="3568" s="96" customFormat="true" ht="13.5"/>
    <row r="3569" s="96" customFormat="true" ht="13.5"/>
    <row r="3570" s="96" customFormat="true" ht="13.5"/>
    <row r="3571" s="96" customFormat="true" ht="13.5"/>
    <row r="3572" s="96" customFormat="true" ht="13.5"/>
    <row r="3573" s="96" customFormat="true" ht="13.5"/>
    <row r="3574" s="96" customFormat="true" ht="13.5"/>
    <row r="3575" s="96" customFormat="true" ht="13.5"/>
    <row r="3576" s="96" customFormat="true" ht="13.5"/>
    <row r="3577" s="96" customFormat="true" ht="13.5"/>
    <row r="3578" s="96" customFormat="true" ht="13.5"/>
    <row r="3579" s="96" customFormat="true" ht="13.5"/>
    <row r="3580" s="96" customFormat="true" ht="13.5"/>
    <row r="3581" s="96" customFormat="true" ht="13.5"/>
    <row r="3582" s="96" customFormat="true" ht="13.5"/>
    <row r="3583" s="96" customFormat="true" ht="13.5"/>
    <row r="3584" s="96" customFormat="true" ht="13.5"/>
    <row r="3585" s="96" customFormat="true" ht="13.5"/>
    <row r="3586" s="96" customFormat="true" ht="13.5"/>
    <row r="3587" s="96" customFormat="true" ht="13.5"/>
    <row r="3588" s="96" customFormat="true" ht="13.5"/>
    <row r="3589" s="96" customFormat="true" ht="13.5"/>
    <row r="3590" s="96" customFormat="true" ht="13.5"/>
    <row r="3591" s="96" customFormat="true" ht="13.5"/>
    <row r="3592" s="96" customFormat="true" ht="13.5"/>
    <row r="3593" s="96" customFormat="true" ht="13.5"/>
    <row r="3594" s="96" customFormat="true" ht="13.5"/>
    <row r="3595" s="96" customFormat="true" ht="13.5"/>
    <row r="3596" s="96" customFormat="true" ht="13.5"/>
    <row r="3597" s="96" customFormat="true" ht="13.5"/>
    <row r="3598" s="96" customFormat="true" ht="13.5"/>
    <row r="3599" s="96" customFormat="true" ht="13.5"/>
    <row r="3600" s="96" customFormat="true" ht="13.5"/>
    <row r="3601" s="96" customFormat="true" ht="13.5"/>
    <row r="3602" s="96" customFormat="true" ht="13.5"/>
    <row r="3603" s="96" customFormat="true" ht="13.5"/>
    <row r="3604" s="96" customFormat="true" ht="13.5"/>
    <row r="3605" s="96" customFormat="true" ht="13.5"/>
    <row r="3606" s="96" customFormat="true" ht="13.5"/>
    <row r="3607" s="96" customFormat="true" ht="13.5"/>
    <row r="3608" s="96" customFormat="true" ht="13.5"/>
    <row r="3609" s="96" customFormat="true" ht="13.5"/>
    <row r="3610" s="96" customFormat="true" ht="13.5"/>
    <row r="3611" s="96" customFormat="true" ht="13.5"/>
    <row r="3612" s="96" customFormat="true" ht="13.5"/>
    <row r="3613" s="96" customFormat="true" ht="13.5"/>
    <row r="3614" s="96" customFormat="true" ht="13.5"/>
    <row r="3615" s="96" customFormat="true" ht="13.5"/>
    <row r="3616" s="96" customFormat="true" ht="13.5"/>
    <row r="3617" s="96" customFormat="true" ht="13.5"/>
    <row r="3618" s="96" customFormat="true" ht="13.5"/>
    <row r="3619" s="96" customFormat="true" ht="13.5"/>
    <row r="3620" s="96" customFormat="true" ht="13.5"/>
    <row r="3621" s="96" customFormat="true" ht="13.5"/>
    <row r="3622" s="96" customFormat="true" ht="13.5"/>
    <row r="3623" s="96" customFormat="true" ht="13.5"/>
    <row r="3624" s="96" customFormat="true" ht="13.5"/>
    <row r="3625" s="96" customFormat="true" ht="13.5"/>
    <row r="3626" s="96" customFormat="true" ht="13.5"/>
    <row r="3627" s="96" customFormat="true" ht="13.5"/>
    <row r="3628" s="96" customFormat="true" ht="13.5"/>
    <row r="3629" s="96" customFormat="true" ht="13.5"/>
    <row r="3630" s="96" customFormat="true" ht="13.5"/>
    <row r="3631" s="96" customFormat="true" ht="13.5"/>
    <row r="3632" s="96" customFormat="true" ht="13.5"/>
    <row r="3633" s="96" customFormat="true" ht="13.5"/>
    <row r="3634" s="96" customFormat="true" ht="13.5"/>
    <row r="3635" s="96" customFormat="true" ht="13.5"/>
    <row r="3636" s="96" customFormat="true" ht="13.5"/>
    <row r="3637" s="96" customFormat="true" ht="13.5"/>
    <row r="3638" s="96" customFormat="true" ht="13.5"/>
    <row r="3639" s="96" customFormat="true" ht="13.5"/>
    <row r="3640" s="96" customFormat="true" ht="13.5"/>
    <row r="3641" s="96" customFormat="true" ht="13.5"/>
    <row r="3642" s="96" customFormat="true" ht="13.5"/>
    <row r="3643" s="96" customFormat="true" ht="13.5"/>
    <row r="3644" s="96" customFormat="true" ht="13.5"/>
    <row r="3645" s="96" customFormat="true" ht="13.5"/>
    <row r="3646" s="96" customFormat="true" ht="13.5"/>
    <row r="3647" s="96" customFormat="true" ht="13.5"/>
    <row r="3648" s="96" customFormat="true" ht="13.5"/>
    <row r="3649" s="96" customFormat="true" ht="13.5"/>
    <row r="3650" s="96" customFormat="true" ht="13.5"/>
    <row r="3651" s="96" customFormat="true" ht="13.5"/>
    <row r="3652" s="96" customFormat="true" ht="13.5"/>
    <row r="3653" s="96" customFormat="true" ht="13.5"/>
    <row r="3654" s="96" customFormat="true" ht="13.5"/>
    <row r="3655" s="96" customFormat="true" ht="13.5"/>
    <row r="3656" s="96" customFormat="true" ht="13.5"/>
    <row r="3657" s="96" customFormat="true" ht="13.5"/>
    <row r="3658" s="96" customFormat="true" ht="13.5"/>
    <row r="3659" s="96" customFormat="true" ht="13.5"/>
    <row r="3660" s="96" customFormat="true" ht="13.5"/>
    <row r="3661" s="96" customFormat="true" ht="13.5"/>
    <row r="3662" s="96" customFormat="true" ht="13.5"/>
    <row r="3663" s="96" customFormat="true" ht="13.5"/>
    <row r="3664" s="96" customFormat="true" ht="13.5"/>
    <row r="3665" s="96" customFormat="true" ht="13.5"/>
    <row r="3666" s="96" customFormat="true" ht="13.5"/>
    <row r="3667" s="96" customFormat="true" ht="13.5"/>
    <row r="3668" s="96" customFormat="true" ht="13.5"/>
    <row r="3669" s="96" customFormat="true" ht="13.5"/>
    <row r="3670" s="96" customFormat="true" ht="13.5"/>
    <row r="3671" s="96" customFormat="true" ht="13.5"/>
    <row r="3672" s="96" customFormat="true" ht="13.5"/>
    <row r="3673" s="96" customFormat="true" ht="13.5"/>
    <row r="3674" s="96" customFormat="true" ht="13.5"/>
    <row r="3675" s="96" customFormat="true" ht="13.5"/>
    <row r="3676" s="96" customFormat="true" ht="13.5"/>
    <row r="3677" s="96" customFormat="true" ht="13.5"/>
    <row r="3678" s="96" customFormat="true" ht="13.5"/>
    <row r="3679" s="96" customFormat="true" ht="13.5"/>
    <row r="3680" s="96" customFormat="true" ht="13.5"/>
    <row r="3681" s="96" customFormat="true" ht="13.5"/>
    <row r="3682" s="96" customFormat="true" ht="13.5"/>
    <row r="3683" s="96" customFormat="true" ht="13.5"/>
    <row r="3684" s="96" customFormat="true" ht="13.5"/>
    <row r="3685" s="96" customFormat="true" ht="13.5"/>
    <row r="3686" s="96" customFormat="true" ht="13.5"/>
    <row r="3687" s="96" customFormat="true" ht="13.5"/>
    <row r="3688" s="96" customFormat="true" ht="13.5"/>
    <row r="3689" s="96" customFormat="true" ht="13.5"/>
    <row r="3690" s="96" customFormat="true" ht="13.5"/>
    <row r="3691" s="96" customFormat="true" ht="13.5"/>
    <row r="3692" s="96" customFormat="true" ht="13.5"/>
    <row r="3693" s="96" customFormat="true" ht="13.5"/>
    <row r="3694" s="96" customFormat="true" ht="13.5"/>
    <row r="3695" s="96" customFormat="true" ht="13.5"/>
    <row r="3696" s="96" customFormat="true" ht="13.5"/>
    <row r="3697" s="96" customFormat="true" ht="13.5"/>
    <row r="3698" s="96" customFormat="true" ht="13.5"/>
    <row r="3699" s="96" customFormat="true" ht="13.5"/>
    <row r="3700" s="96" customFormat="true" ht="13.5"/>
    <row r="3701" s="96" customFormat="true" ht="13.5"/>
    <row r="3702" s="96" customFormat="true" ht="13.5"/>
    <row r="3703" s="96" customFormat="true" ht="13.5"/>
    <row r="3704" s="96" customFormat="true" ht="13.5"/>
    <row r="3705" s="96" customFormat="true" ht="13.5"/>
    <row r="3706" s="96" customFormat="true" ht="13.5"/>
    <row r="3707" s="96" customFormat="true" ht="13.5"/>
    <row r="3708" s="96" customFormat="true" ht="13.5"/>
    <row r="3709" s="96" customFormat="true" ht="13.5"/>
    <row r="3710" s="96" customFormat="true" ht="13.5"/>
    <row r="3711" s="96" customFormat="true" ht="13.5"/>
    <row r="3712" s="96" customFormat="true" ht="13.5"/>
    <row r="3713" s="96" customFormat="true" ht="13.5"/>
    <row r="3714" s="96" customFormat="true" ht="13.5"/>
    <row r="3715" s="96" customFormat="true" ht="13.5"/>
    <row r="3716" s="96" customFormat="true" ht="13.5"/>
    <row r="3717" s="96" customFormat="true" ht="13.5"/>
    <row r="3718" s="96" customFormat="true" ht="13.5"/>
    <row r="3719" s="96" customFormat="true" ht="13.5"/>
    <row r="3720" s="96" customFormat="true" ht="13.5"/>
    <row r="3721" s="96" customFormat="true" ht="13.5"/>
    <row r="3722" s="96" customFormat="true" ht="13.5"/>
    <row r="3723" s="96" customFormat="true" ht="13.5"/>
    <row r="3724" s="96" customFormat="true" ht="13.5"/>
    <row r="3725" s="96" customFormat="true" ht="13.5"/>
    <row r="3726" s="96" customFormat="true" ht="13.5"/>
    <row r="3727" s="96" customFormat="true" ht="13.5"/>
    <row r="3728" s="96" customFormat="true" ht="13.5"/>
    <row r="3729" s="96" customFormat="true" ht="13.5"/>
    <row r="3730" s="96" customFormat="true" ht="13.5"/>
    <row r="3731" s="96" customFormat="true" ht="13.5"/>
    <row r="3732" s="96" customFormat="true" ht="13.5"/>
    <row r="3733" s="96" customFormat="true" ht="13.5"/>
    <row r="3734" s="96" customFormat="true" ht="13.5"/>
    <row r="3735" s="96" customFormat="true" ht="13.5"/>
    <row r="3736" s="96" customFormat="true" ht="13.5"/>
    <row r="3737" s="96" customFormat="true" ht="13.5"/>
    <row r="3738" s="96" customFormat="true" ht="13.5"/>
    <row r="3739" s="96" customFormat="true" ht="13.5"/>
    <row r="3740" s="96" customFormat="true" ht="13.5"/>
    <row r="3741" s="96" customFormat="true" ht="13.5"/>
    <row r="3742" s="96" customFormat="true" ht="13.5"/>
    <row r="3743" s="96" customFormat="true" ht="13.5"/>
    <row r="3744" s="96" customFormat="true" ht="13.5"/>
    <row r="3745" s="96" customFormat="true" ht="13.5"/>
    <row r="3746" s="96" customFormat="true" ht="13.5"/>
    <row r="3747" s="96" customFormat="true" ht="13.5"/>
    <row r="3748" s="96" customFormat="true" ht="13.5"/>
    <row r="3749" s="96" customFormat="true" ht="13.5"/>
    <row r="3750" s="96" customFormat="true" ht="13.5"/>
    <row r="3751" s="96" customFormat="true" ht="13.5"/>
    <row r="3752" s="96" customFormat="true" ht="13.5"/>
    <row r="3753" s="96" customFormat="true" ht="13.5"/>
    <row r="3754" s="96" customFormat="true" ht="13.5"/>
    <row r="3755" s="96" customFormat="true" ht="13.5"/>
    <row r="3756" s="96" customFormat="true" ht="13.5"/>
    <row r="3757" s="96" customFormat="true" ht="13.5"/>
    <row r="3758" s="96" customFormat="true" ht="13.5"/>
    <row r="3759" s="96" customFormat="true" ht="13.5"/>
    <row r="3760" s="96" customFormat="true" ht="13.5"/>
    <row r="3761" s="96" customFormat="true" ht="13.5"/>
    <row r="3762" s="96" customFormat="true" ht="13.5"/>
    <row r="3763" s="96" customFormat="true" ht="13.5"/>
    <row r="3764" s="96" customFormat="true" ht="13.5"/>
    <row r="3765" s="96" customFormat="true" ht="13.5"/>
    <row r="3766" s="96" customFormat="true" ht="13.5"/>
    <row r="3767" s="96" customFormat="true" ht="13.5"/>
    <row r="3768" s="96" customFormat="true" ht="13.5"/>
    <row r="3769" s="96" customFormat="true" ht="13.5"/>
    <row r="3770" s="96" customFormat="true" ht="13.5"/>
    <row r="3771" s="96" customFormat="true" ht="13.5"/>
    <row r="3772" s="96" customFormat="true" ht="13.5"/>
    <row r="3773" s="96" customFormat="true" ht="13.5"/>
    <row r="3774" s="96" customFormat="true" ht="13.5"/>
    <row r="3775" s="96" customFormat="true" ht="13.5"/>
    <row r="3776" s="96" customFormat="true" ht="13.5"/>
    <row r="3777" s="96" customFormat="true" ht="13.5"/>
    <row r="3778" s="96" customFormat="true" ht="13.5"/>
    <row r="3779" s="96" customFormat="true" ht="13.5"/>
    <row r="3780" s="96" customFormat="true" ht="13.5"/>
    <row r="3781" s="96" customFormat="true" ht="13.5"/>
    <row r="3782" s="96" customFormat="true" ht="13.5"/>
    <row r="3783" s="96" customFormat="true" ht="13.5"/>
    <row r="3784" s="96" customFormat="true" ht="13.5"/>
    <row r="3785" s="96" customFormat="true" ht="13.5"/>
    <row r="3786" s="96" customFormat="true" ht="13.5"/>
    <row r="3787" s="96" customFormat="true" ht="13.5"/>
    <row r="3788" s="96" customFormat="true" ht="13.5"/>
    <row r="3789" s="96" customFormat="true" ht="13.5"/>
    <row r="3790" s="96" customFormat="true" ht="13.5"/>
    <row r="3791" s="96" customFormat="true" ht="13.5"/>
    <row r="3792" s="96" customFormat="true" ht="13.5"/>
    <row r="3793" s="96" customFormat="true" ht="13.5"/>
    <row r="3794" s="96" customFormat="true" ht="13.5"/>
    <row r="3795" s="96" customFormat="true" ht="13.5"/>
    <row r="3796" s="96" customFormat="true" ht="13.5"/>
    <row r="3797" s="96" customFormat="true" ht="13.5"/>
    <row r="3798" s="96" customFormat="true" ht="13.5"/>
    <row r="3799" s="96" customFormat="true" ht="13.5"/>
    <row r="3800" s="96" customFormat="true" ht="13.5"/>
    <row r="3801" s="96" customFormat="true" ht="13.5"/>
    <row r="3802" s="96" customFormat="true" ht="13.5"/>
    <row r="3803" s="96" customFormat="true" ht="13.5"/>
    <row r="3804" s="96" customFormat="true" ht="13.5"/>
    <row r="3805" s="96" customFormat="true" ht="13.5"/>
    <row r="3806" s="96" customFormat="true" ht="13.5"/>
    <row r="3807" s="96" customFormat="true" ht="13.5"/>
    <row r="3808" s="96" customFormat="true" ht="13.5"/>
    <row r="3809" s="96" customFormat="true" ht="13.5"/>
    <row r="3810" s="96" customFormat="true" ht="13.5"/>
    <row r="3811" s="96" customFormat="true" ht="13.5"/>
    <row r="3812" s="96" customFormat="true" ht="13.5"/>
    <row r="3813" s="96" customFormat="true" ht="13.5"/>
    <row r="3814" s="96" customFormat="true" ht="13.5"/>
    <row r="3815" s="96" customFormat="true" ht="13.5"/>
    <row r="3816" s="96" customFormat="true" ht="13.5"/>
    <row r="3817" s="96" customFormat="true" ht="13.5"/>
    <row r="3818" s="96" customFormat="true" ht="13.5"/>
    <row r="3819" s="96" customFormat="true" ht="13.5"/>
    <row r="3820" s="96" customFormat="true" ht="13.5"/>
    <row r="3821" s="96" customFormat="true" ht="13.5"/>
    <row r="3822" s="96" customFormat="true" ht="13.5"/>
    <row r="3823" s="96" customFormat="true" ht="13.5"/>
    <row r="3824" s="96" customFormat="true" ht="13.5"/>
    <row r="3825" s="96" customFormat="true" ht="13.5"/>
    <row r="3826" s="96" customFormat="true" ht="13.5"/>
    <row r="3827" s="96" customFormat="true" ht="13.5"/>
    <row r="3828" s="96" customFormat="true" ht="13.5"/>
    <row r="3829" s="96" customFormat="true" ht="13.5"/>
    <row r="3830" s="96" customFormat="true" ht="13.5"/>
    <row r="3831" s="96" customFormat="true" ht="13.5"/>
    <row r="3832" s="96" customFormat="true" ht="13.5"/>
    <row r="3833" s="96" customFormat="true" ht="13.5"/>
    <row r="3834" s="96" customFormat="true" ht="13.5"/>
    <row r="3835" s="96" customFormat="true" ht="13.5"/>
    <row r="3836" s="96" customFormat="true" ht="13.5"/>
    <row r="3837" s="96" customFormat="true" ht="13.5"/>
    <row r="3838" s="96" customFormat="true" ht="13.5"/>
    <row r="3839" s="96" customFormat="true" ht="13.5"/>
    <row r="3840" s="96" customFormat="true" ht="13.5"/>
    <row r="3841" s="96" customFormat="true" ht="13.5"/>
    <row r="3842" s="96" customFormat="true" ht="13.5"/>
    <row r="3843" s="96" customFormat="true" ht="13.5"/>
    <row r="3844" s="96" customFormat="true" ht="13.5"/>
    <row r="3845" s="96" customFormat="true" ht="13.5"/>
    <row r="3846" s="96" customFormat="true" ht="13.5"/>
    <row r="3847" s="96" customFormat="true" ht="13.5"/>
    <row r="3848" s="96" customFormat="true" ht="13.5"/>
    <row r="3849" s="96" customFormat="true" ht="13.5"/>
    <row r="3850" s="96" customFormat="true" ht="13.5"/>
    <row r="3851" s="96" customFormat="true" ht="13.5"/>
    <row r="3852" s="96" customFormat="true" ht="13.5"/>
    <row r="3853" s="96" customFormat="true" ht="13.5"/>
    <row r="3854" s="96" customFormat="true" ht="13.5"/>
    <row r="3855" s="96" customFormat="true" ht="13.5"/>
    <row r="3856" s="96" customFormat="true" ht="13.5"/>
    <row r="3857" s="96" customFormat="true" ht="13.5"/>
    <row r="3858" s="96" customFormat="true" ht="13.5"/>
    <row r="3859" s="96" customFormat="true" ht="13.5"/>
    <row r="3860" s="96" customFormat="true" ht="13.5"/>
    <row r="3861" s="96" customFormat="true" ht="13.5"/>
    <row r="3862" s="96" customFormat="true" ht="13.5"/>
    <row r="3863" s="96" customFormat="true" ht="13.5"/>
    <row r="3864" s="96" customFormat="true" ht="13.5"/>
    <row r="3865" s="96" customFormat="true" ht="13.5"/>
    <row r="3866" s="96" customFormat="true" ht="13.5"/>
    <row r="3867" s="96" customFormat="true" ht="13.5"/>
    <row r="3868" s="96" customFormat="true" ht="13.5"/>
    <row r="3869" s="96" customFormat="true" ht="13.5"/>
    <row r="3870" s="96" customFormat="true" ht="13.5"/>
    <row r="3871" s="96" customFormat="true" ht="13.5"/>
    <row r="3872" s="96" customFormat="true" ht="13.5"/>
    <row r="3873" s="96" customFormat="true" ht="13.5"/>
    <row r="3874" s="96" customFormat="true" ht="13.5"/>
    <row r="3875" s="96" customFormat="true" ht="13.5"/>
    <row r="3876" s="96" customFormat="true" ht="13.5"/>
    <row r="3877" s="96" customFormat="true" ht="13.5"/>
    <row r="3878" s="96" customFormat="true" ht="13.5"/>
    <row r="3879" s="96" customFormat="true" ht="13.5"/>
    <row r="3880" s="96" customFormat="true" ht="13.5"/>
    <row r="3881" s="96" customFormat="true" ht="13.5"/>
    <row r="3882" s="96" customFormat="true" ht="13.5"/>
    <row r="3883" s="96" customFormat="true" ht="13.5"/>
    <row r="3884" s="96" customFormat="true" ht="13.5"/>
    <row r="3885" s="96" customFormat="true" ht="13.5"/>
    <row r="3886" s="96" customFormat="true" ht="13.5"/>
    <row r="3887" s="96" customFormat="true" ht="13.5"/>
    <row r="3888" s="96" customFormat="true" ht="13.5"/>
    <row r="3889" s="96" customFormat="true" ht="13.5"/>
    <row r="3890" s="96" customFormat="true" ht="13.5"/>
    <row r="3891" s="96" customFormat="true" ht="13.5"/>
    <row r="3892" s="96" customFormat="true" ht="13.5"/>
    <row r="3893" s="96" customFormat="true" ht="13.5"/>
    <row r="3894" s="96" customFormat="true" ht="13.5"/>
    <row r="3895" s="96" customFormat="true" ht="13.5"/>
    <row r="3896" s="96" customFormat="true" ht="13.5"/>
    <row r="3897" s="96" customFormat="true" ht="13.5"/>
    <row r="3898" s="96" customFormat="true" ht="13.5"/>
    <row r="3899" s="96" customFormat="true" ht="13.5"/>
    <row r="3900" s="96" customFormat="true" ht="13.5"/>
    <row r="3901" s="96" customFormat="true" ht="13.5"/>
    <row r="3902" s="96" customFormat="true" ht="13.5"/>
    <row r="3903" s="96" customFormat="true" ht="13.5"/>
    <row r="3904" s="96" customFormat="true" ht="13.5"/>
    <row r="3905" s="96" customFormat="true" ht="13.5"/>
    <row r="3906" s="96" customFormat="true" ht="13.5"/>
    <row r="3907" s="96" customFormat="true" ht="13.5"/>
    <row r="3908" s="96" customFormat="true" ht="13.5"/>
    <row r="3909" s="96" customFormat="true" ht="13.5"/>
    <row r="3910" s="96" customFormat="true" ht="13.5"/>
    <row r="3911" s="96" customFormat="true" ht="13.5"/>
    <row r="3912" s="96" customFormat="true" ht="13.5"/>
    <row r="3913" s="96" customFormat="true" ht="13.5"/>
    <row r="3914" s="96" customFormat="true" ht="13.5"/>
    <row r="3915" s="96" customFormat="true" ht="13.5"/>
    <row r="3916" s="96" customFormat="true" ht="13.5"/>
    <row r="3917" s="96" customFormat="true" ht="13.5"/>
    <row r="3918" s="96" customFormat="true" ht="13.5"/>
    <row r="3919" s="96" customFormat="true" ht="13.5"/>
    <row r="3920" s="96" customFormat="true" ht="13.5"/>
    <row r="3921" s="96" customFormat="true" ht="13.5"/>
    <row r="3922" s="96" customFormat="true" ht="13.5"/>
    <row r="3923" s="96" customFormat="true" ht="13.5"/>
    <row r="3924" s="96" customFormat="true" ht="13.5"/>
    <row r="3925" s="96" customFormat="true" ht="13.5"/>
    <row r="3926" s="96" customFormat="true" ht="13.5"/>
    <row r="3927" s="96" customFormat="true" ht="13.5"/>
    <row r="3928" s="96" customFormat="true" ht="13.5"/>
    <row r="3929" s="96" customFormat="true" ht="13.5"/>
    <row r="3930" s="96" customFormat="true" ht="13.5"/>
    <row r="3931" s="96" customFormat="true" ht="13.5"/>
    <row r="3932" s="96" customFormat="true" ht="13.5"/>
    <row r="3933" s="96" customFormat="true" ht="13.5"/>
    <row r="3934" s="96" customFormat="true" ht="13.5"/>
    <row r="3935" s="96" customFormat="true" ht="13.5"/>
    <row r="3936" s="96" customFormat="true" ht="13.5"/>
    <row r="3937" s="96" customFormat="true" ht="13.5"/>
    <row r="3938" s="96" customFormat="true" ht="13.5"/>
    <row r="3939" s="96" customFormat="true" ht="13.5"/>
    <row r="3940" s="96" customFormat="true" ht="13.5"/>
    <row r="3941" s="96" customFormat="true" ht="13.5"/>
    <row r="3942" s="96" customFormat="true" ht="13.5"/>
    <row r="3943" s="96" customFormat="true" ht="13.5"/>
    <row r="3944" s="96" customFormat="true" ht="13.5"/>
    <row r="3945" s="96" customFormat="true" ht="13.5"/>
    <row r="3946" s="96" customFormat="true" ht="13.5"/>
    <row r="3947" s="96" customFormat="true" ht="13.5"/>
    <row r="3948" s="96" customFormat="true" ht="13.5"/>
    <row r="3949" s="96" customFormat="true" ht="13.5"/>
    <row r="3950" s="96" customFormat="true" ht="13.5"/>
    <row r="3951" s="96" customFormat="true" ht="13.5"/>
    <row r="3952" s="96" customFormat="true" ht="13.5"/>
    <row r="3953" s="96" customFormat="true" ht="13.5"/>
    <row r="3954" s="96" customFormat="true" ht="13.5"/>
    <row r="3955" s="96" customFormat="true" ht="13.5"/>
    <row r="3956" s="96" customFormat="true" ht="13.5"/>
    <row r="3957" s="96" customFormat="true" ht="13.5"/>
    <row r="3958" s="96" customFormat="true" ht="13.5"/>
    <row r="3959" s="96" customFormat="true" ht="13.5"/>
    <row r="3960" s="96" customFormat="true" ht="13.5"/>
    <row r="3961" s="96" customFormat="true" ht="13.5"/>
    <row r="3962" s="96" customFormat="true" ht="13.5"/>
    <row r="3963" s="96" customFormat="true" ht="13.5"/>
    <row r="3964" s="96" customFormat="true" ht="13.5"/>
    <row r="3965" s="96" customFormat="true" ht="13.5"/>
    <row r="3966" s="96" customFormat="true" ht="13.5"/>
    <row r="3967" s="96" customFormat="true" ht="13.5"/>
    <row r="3968" s="96" customFormat="true" ht="13.5"/>
    <row r="3969" s="96" customFormat="true" ht="13.5"/>
    <row r="3970" s="96" customFormat="true" ht="13.5"/>
    <row r="3971" s="96" customFormat="true" ht="13.5"/>
    <row r="3972" s="96" customFormat="true" ht="13.5"/>
    <row r="3973" s="96" customFormat="true" ht="13.5"/>
    <row r="3974" s="96" customFormat="true" ht="13.5"/>
    <row r="3975" s="96" customFormat="true" ht="13.5"/>
    <row r="3976" s="96" customFormat="true" ht="13.5"/>
    <row r="3977" s="96" customFormat="true" ht="13.5"/>
    <row r="3978" s="96" customFormat="true" ht="13.5"/>
    <row r="3979" s="96" customFormat="true" ht="13.5"/>
    <row r="3980" s="96" customFormat="true" ht="13.5"/>
    <row r="3981" s="96" customFormat="true" ht="13.5"/>
    <row r="3982" s="96" customFormat="true" ht="13.5"/>
    <row r="3983" s="96" customFormat="true" ht="13.5"/>
    <row r="3984" s="96" customFormat="true" ht="13.5"/>
    <row r="3985" s="96" customFormat="true" ht="13.5"/>
    <row r="3986" s="96" customFormat="true" ht="13.5"/>
    <row r="3987" s="96" customFormat="true" ht="13.5"/>
    <row r="3988" s="96" customFormat="true" ht="13.5"/>
    <row r="3989" s="96" customFormat="true" ht="13.5"/>
    <row r="3990" s="96" customFormat="true" ht="13.5"/>
    <row r="3991" s="96" customFormat="true" ht="13.5"/>
    <row r="3992" s="96" customFormat="true" ht="13.5"/>
    <row r="3993" s="96" customFormat="true" ht="13.5"/>
    <row r="3994" s="96" customFormat="true" ht="13.5"/>
    <row r="3995" s="96" customFormat="true" ht="13.5"/>
    <row r="3996" s="96" customFormat="true" ht="13.5"/>
    <row r="3997" s="96" customFormat="true" ht="13.5"/>
    <row r="3998" s="96" customFormat="true" ht="13.5"/>
    <row r="3999" s="96" customFormat="true" ht="13.5"/>
    <row r="4000" s="96" customFormat="true" ht="13.5"/>
    <row r="4001" s="96" customFormat="true" ht="13.5"/>
    <row r="4002" s="96" customFormat="true" ht="13.5"/>
    <row r="4003" s="96" customFormat="true" ht="13.5"/>
    <row r="4004" s="96" customFormat="true" ht="13.5"/>
    <row r="4005" s="96" customFormat="true" ht="13.5"/>
    <row r="4006" s="96" customFormat="true" ht="13.5"/>
    <row r="4007" s="96" customFormat="true" ht="13.5"/>
    <row r="4008" s="96" customFormat="true" ht="13.5"/>
    <row r="4009" s="96" customFormat="true" ht="13.5"/>
    <row r="4010" s="96" customFormat="true" ht="13.5"/>
    <row r="4011" s="96" customFormat="true" ht="13.5"/>
    <row r="4012" s="96" customFormat="true" ht="13.5"/>
    <row r="4013" s="96" customFormat="true" ht="13.5"/>
    <row r="4014" s="96" customFormat="true" ht="13.5"/>
    <row r="4015" s="96" customFormat="true" ht="13.5"/>
    <row r="4016" s="96" customFormat="true" ht="13.5"/>
    <row r="4017" s="96" customFormat="true" ht="13.5"/>
    <row r="4018" s="96" customFormat="true" ht="13.5"/>
    <row r="4019" s="96" customFormat="true" ht="13.5"/>
    <row r="4020" s="96" customFormat="true" ht="13.5"/>
    <row r="4021" s="96" customFormat="true" ht="13.5"/>
    <row r="4022" s="96" customFormat="true" ht="13.5"/>
    <row r="4023" s="96" customFormat="true" ht="13.5"/>
    <row r="4024" s="96" customFormat="true" ht="13.5"/>
    <row r="4025" s="96" customFormat="true" ht="13.5"/>
    <row r="4026" s="96" customFormat="true" ht="13.5"/>
    <row r="4027" s="96" customFormat="true" ht="13.5"/>
    <row r="4028" s="96" customFormat="true" ht="13.5"/>
    <row r="4029" s="96" customFormat="true" ht="13.5"/>
    <row r="4030" s="96" customFormat="true" ht="13.5"/>
    <row r="4031" s="96" customFormat="true" ht="13.5"/>
    <row r="4032" s="96" customFormat="true" ht="13.5"/>
    <row r="4033" s="96" customFormat="true" ht="13.5"/>
    <row r="4034" s="96" customFormat="true" ht="13.5"/>
    <row r="4035" s="96" customFormat="true" ht="13.5"/>
    <row r="4036" s="96" customFormat="true" ht="13.5"/>
    <row r="4037" s="96" customFormat="true" ht="13.5"/>
    <row r="4038" s="96" customFormat="true" ht="13.5"/>
    <row r="4039" s="96" customFormat="true" ht="13.5"/>
    <row r="4040" s="96" customFormat="true" ht="13.5"/>
    <row r="4041" s="96" customFormat="true" ht="13.5"/>
    <row r="4042" s="96" customFormat="true" ht="13.5"/>
    <row r="4043" s="96" customFormat="true" ht="13.5"/>
    <row r="4044" s="96" customFormat="true" ht="13.5"/>
    <row r="4045" s="96" customFormat="true" ht="13.5"/>
    <row r="4046" s="96" customFormat="true" ht="13.5"/>
    <row r="4047" s="96" customFormat="true" ht="13.5"/>
    <row r="4048" s="96" customFormat="true" ht="13.5"/>
    <row r="4049" s="96" customFormat="true" ht="13.5"/>
    <row r="4050" s="96" customFormat="true" ht="13.5"/>
    <row r="4051" s="96" customFormat="true" ht="13.5"/>
    <row r="4052" s="96" customFormat="true" ht="13.5"/>
    <row r="4053" s="96" customFormat="true" ht="13.5"/>
    <row r="4054" s="96" customFormat="true" ht="13.5"/>
    <row r="4055" s="96" customFormat="true" ht="13.5"/>
    <row r="4056" s="96" customFormat="true" ht="13.5"/>
    <row r="4057" s="96" customFormat="true" ht="13.5"/>
    <row r="4058" s="96" customFormat="true" ht="13.5"/>
    <row r="4059" s="96" customFormat="true" ht="13.5"/>
    <row r="4060" s="96" customFormat="true" ht="13.5"/>
    <row r="4061" s="96" customFormat="true" ht="13.5"/>
    <row r="4062" s="96" customFormat="true" ht="13.5"/>
    <row r="4063" s="96" customFormat="true" ht="13.5"/>
    <row r="4064" s="96" customFormat="true" ht="13.5"/>
    <row r="4065" s="96" customFormat="true" ht="13.5"/>
    <row r="4066" s="96" customFormat="true" ht="13.5"/>
    <row r="4067" s="96" customFormat="true" ht="13.5"/>
    <row r="4068" s="96" customFormat="true" ht="13.5"/>
    <row r="4069" s="96" customFormat="true" ht="13.5"/>
    <row r="4070" s="96" customFormat="true" ht="13.5"/>
    <row r="4071" s="96" customFormat="true" ht="13.5"/>
    <row r="4072" s="96" customFormat="true" ht="13.5"/>
    <row r="4073" s="96" customFormat="true" ht="13.5"/>
    <row r="4074" s="96" customFormat="true" ht="13.5"/>
    <row r="4075" s="96" customFormat="true" ht="13.5"/>
    <row r="4076" s="96" customFormat="true" ht="13.5"/>
    <row r="4077" s="96" customFormat="true" ht="13.5"/>
    <row r="4078" s="96" customFormat="true" ht="13.5"/>
    <row r="4079" s="96" customFormat="true" ht="13.5"/>
    <row r="4080" s="96" customFormat="true" ht="13.5"/>
    <row r="4081" s="96" customFormat="true" ht="13.5"/>
    <row r="4082" s="96" customFormat="true" ht="13.5"/>
    <row r="4083" s="96" customFormat="true" ht="13.5"/>
    <row r="4084" s="96" customFormat="true" ht="13.5"/>
    <row r="4085" s="96" customFormat="true" ht="13.5"/>
    <row r="4086" s="96" customFormat="true" ht="13.5"/>
    <row r="4087" s="96" customFormat="true" ht="13.5"/>
    <row r="4088" s="96" customFormat="true" ht="13.5"/>
    <row r="4089" s="96" customFormat="true" ht="13.5"/>
    <row r="4090" s="96" customFormat="true" ht="13.5"/>
    <row r="4091" s="96" customFormat="true" ht="13.5"/>
    <row r="4092" s="96" customFormat="true" ht="13.5"/>
    <row r="4093" s="96" customFormat="true" ht="13.5"/>
    <row r="4094" s="96" customFormat="true" ht="13.5"/>
    <row r="4095" s="96" customFormat="true" ht="13.5"/>
    <row r="4096" s="96" customFormat="true" ht="13.5"/>
    <row r="4097" s="96" customFormat="true" ht="13.5"/>
    <row r="4098" s="96" customFormat="true" ht="13.5"/>
    <row r="4099" s="96" customFormat="true" ht="13.5"/>
    <row r="4100" s="96" customFormat="true" ht="13.5"/>
    <row r="4101" s="96" customFormat="true" ht="13.5"/>
    <row r="4102" s="96" customFormat="true" ht="13.5"/>
    <row r="4103" s="96" customFormat="true" ht="13.5"/>
    <row r="4104" s="96" customFormat="true" ht="13.5"/>
    <row r="4105" s="96" customFormat="true" ht="13.5"/>
    <row r="4106" s="96" customFormat="true" ht="13.5"/>
    <row r="4107" s="96" customFormat="true" ht="13.5"/>
    <row r="4108" s="96" customFormat="true" ht="13.5"/>
    <row r="4109" s="96" customFormat="true" ht="13.5"/>
    <row r="4110" s="96" customFormat="true" ht="13.5"/>
    <row r="4111" s="96" customFormat="true" ht="13.5"/>
    <row r="4112" s="96" customFormat="true" ht="13.5"/>
    <row r="4113" s="96" customFormat="true" ht="13.5"/>
    <row r="4114" s="96" customFormat="true" ht="13.5"/>
    <row r="4115" s="96" customFormat="true" ht="13.5"/>
    <row r="4116" s="96" customFormat="true" ht="13.5"/>
    <row r="4117" s="96" customFormat="true" ht="13.5"/>
    <row r="4118" s="96" customFormat="true" ht="13.5"/>
    <row r="4119" s="96" customFormat="true" ht="13.5"/>
    <row r="4120" s="96" customFormat="true" ht="13.5"/>
    <row r="4121" s="96" customFormat="true" ht="13.5"/>
    <row r="4122" s="96" customFormat="true" ht="13.5"/>
    <row r="4123" s="96" customFormat="true" ht="13.5"/>
    <row r="4124" s="96" customFormat="true" ht="13.5"/>
    <row r="4125" s="96" customFormat="true" ht="13.5"/>
    <row r="4126" s="96" customFormat="true" ht="13.5"/>
    <row r="4127" s="96" customFormat="true" ht="13.5"/>
    <row r="4128" s="96" customFormat="true" ht="13.5"/>
    <row r="4129" s="96" customFormat="true" ht="13.5"/>
    <row r="4130" s="96" customFormat="true" ht="13.5"/>
    <row r="4131" s="96" customFormat="true" ht="13.5"/>
    <row r="4132" s="96" customFormat="true" ht="13.5"/>
    <row r="4133" s="96" customFormat="true" ht="13.5"/>
    <row r="4134" s="96" customFormat="true" ht="13.5"/>
    <row r="4135" s="96" customFormat="true" ht="13.5"/>
    <row r="4136" s="96" customFormat="true" ht="13.5"/>
    <row r="4137" s="96" customFormat="true" ht="13.5"/>
    <row r="4138" s="96" customFormat="true" ht="13.5"/>
    <row r="4139" s="96" customFormat="true" ht="13.5"/>
    <row r="4140" s="96" customFormat="true" ht="13.5"/>
    <row r="4141" s="96" customFormat="true" ht="13.5"/>
    <row r="4142" s="96" customFormat="true" ht="13.5"/>
    <row r="4143" s="96" customFormat="true" ht="13.5"/>
    <row r="4144" s="96" customFormat="true" ht="13.5"/>
    <row r="4145" s="96" customFormat="true" ht="13.5"/>
    <row r="4146" s="96" customFormat="true" ht="13.5"/>
    <row r="4147" s="96" customFormat="true" ht="13.5"/>
    <row r="4148" s="96" customFormat="true" ht="13.5"/>
    <row r="4149" s="96" customFormat="true" ht="13.5"/>
    <row r="4150" s="96" customFormat="true" ht="13.5"/>
    <row r="4151" s="96" customFormat="true" ht="13.5"/>
    <row r="4152" s="96" customFormat="true" ht="13.5"/>
    <row r="4153" s="96" customFormat="true" ht="13.5"/>
    <row r="4154" s="96" customFormat="true" ht="13.5"/>
    <row r="4155" s="96" customFormat="true" ht="13.5"/>
    <row r="4156" s="96" customFormat="true" ht="13.5"/>
    <row r="4157" s="96" customFormat="true" ht="13.5"/>
    <row r="4158" s="96" customFormat="true" ht="13.5"/>
    <row r="4159" s="96" customFormat="true" ht="13.5"/>
    <row r="4160" s="96" customFormat="true" ht="13.5"/>
    <row r="4161" s="96" customFormat="true" ht="13.5"/>
    <row r="4162" s="96" customFormat="true" ht="13.5"/>
    <row r="4163" s="96" customFormat="true" ht="13.5"/>
    <row r="4164" s="96" customFormat="true" ht="13.5"/>
    <row r="4165" s="96" customFormat="true" ht="13.5"/>
    <row r="4166" s="96" customFormat="true" ht="13.5"/>
    <row r="4167" s="96" customFormat="true" ht="13.5"/>
    <row r="4168" s="96" customFormat="true" ht="13.5"/>
    <row r="4169" s="96" customFormat="true" ht="13.5"/>
    <row r="4170" s="96" customFormat="true" ht="13.5"/>
    <row r="4171" s="96" customFormat="true" ht="13.5"/>
    <row r="4172" s="96" customFormat="true" ht="13.5"/>
    <row r="4173" s="96" customFormat="true" ht="13.5"/>
    <row r="4174" s="96" customFormat="true" ht="13.5"/>
    <row r="4175" s="96" customFormat="true" ht="13.5"/>
    <row r="4176" s="96" customFormat="true" ht="13.5"/>
    <row r="4177" s="96" customFormat="true" ht="13.5"/>
    <row r="4178" s="96" customFormat="true" ht="13.5"/>
    <row r="4179" s="96" customFormat="true" ht="13.5"/>
    <row r="4180" s="96" customFormat="true" ht="13.5"/>
    <row r="4181" s="96" customFormat="true" ht="13.5"/>
    <row r="4182" s="96" customFormat="true" ht="13.5"/>
    <row r="4183" s="96" customFormat="true" ht="13.5"/>
    <row r="4184" s="96" customFormat="true" ht="13.5"/>
    <row r="4185" s="96" customFormat="true" ht="13.5"/>
    <row r="4186" s="96" customFormat="true" ht="13.5"/>
    <row r="4187" s="96" customFormat="true" ht="13.5"/>
    <row r="4188" s="96" customFormat="true" ht="13.5"/>
    <row r="4189" s="96" customFormat="true" ht="13.5"/>
    <row r="4190" s="96" customFormat="true" ht="13.5"/>
    <row r="4191" s="96" customFormat="true" ht="13.5"/>
    <row r="4192" s="96" customFormat="true" ht="13.5"/>
    <row r="4193" s="96" customFormat="true" ht="13.5"/>
    <row r="4194" s="96" customFormat="true" ht="13.5"/>
    <row r="4195" s="96" customFormat="true" ht="13.5"/>
    <row r="4196" s="96" customFormat="true" ht="13.5"/>
    <row r="4197" s="96" customFormat="true" ht="13.5"/>
    <row r="4198" s="96" customFormat="true" ht="13.5"/>
    <row r="4199" s="96" customFormat="true" ht="13.5"/>
    <row r="4200" s="96" customFormat="true" ht="13.5"/>
    <row r="4201" s="96" customFormat="true" ht="13.5"/>
    <row r="4202" s="96" customFormat="true" ht="13.5"/>
    <row r="4203" s="96" customFormat="true" ht="13.5"/>
    <row r="4204" s="96" customFormat="true" ht="13.5"/>
    <row r="4205" s="96" customFormat="true" ht="13.5"/>
    <row r="4206" s="96" customFormat="true" ht="13.5"/>
    <row r="4207" s="96" customFormat="true" ht="13.5"/>
    <row r="4208" s="96" customFormat="true" ht="13.5"/>
    <row r="4209" s="96" customFormat="true" ht="13.5"/>
    <row r="4210" s="96" customFormat="true" ht="13.5"/>
    <row r="4211" s="96" customFormat="true" ht="13.5"/>
    <row r="4212" s="96" customFormat="true" ht="13.5"/>
    <row r="4213" s="96" customFormat="true" ht="13.5"/>
    <row r="4214" s="96" customFormat="true" ht="13.5"/>
    <row r="4215" s="96" customFormat="true" ht="13.5"/>
    <row r="4216" s="96" customFormat="true" ht="13.5"/>
    <row r="4217" s="96" customFormat="true" ht="13.5"/>
    <row r="4218" s="96" customFormat="true" ht="13.5"/>
    <row r="4219" s="96" customFormat="true" ht="13.5"/>
    <row r="4220" s="96" customFormat="true" ht="13.5"/>
    <row r="4221" s="96" customFormat="true" ht="13.5"/>
    <row r="4222" s="96" customFormat="true" ht="13.5"/>
    <row r="4223" s="96" customFormat="true" ht="13.5"/>
    <row r="4224" s="96" customFormat="true" ht="13.5"/>
    <row r="4225" s="96" customFormat="true" ht="13.5"/>
    <row r="4226" s="96" customFormat="true" ht="13.5"/>
    <row r="4227" s="96" customFormat="true" ht="13.5"/>
    <row r="4228" s="96" customFormat="true" ht="13.5"/>
    <row r="4229" s="96" customFormat="true" ht="13.5"/>
    <row r="4230" s="96" customFormat="true" ht="13.5"/>
    <row r="4231" s="96" customFormat="true" ht="13.5"/>
    <row r="4232" s="96" customFormat="true" ht="13.5"/>
    <row r="4233" s="96" customFormat="true" ht="13.5"/>
    <row r="4234" s="96" customFormat="true" ht="13.5"/>
    <row r="4235" s="96" customFormat="true" ht="13.5"/>
    <row r="4236" s="96" customFormat="true" ht="13.5"/>
    <row r="4237" s="96" customFormat="true" ht="13.5"/>
    <row r="4238" s="96" customFormat="true" ht="13.5"/>
    <row r="4239" s="96" customFormat="true" ht="13.5"/>
    <row r="4240" s="96" customFormat="true" ht="13.5"/>
    <row r="4241" s="96" customFormat="true" ht="13.5"/>
    <row r="4242" s="96" customFormat="true" ht="13.5"/>
    <row r="4243" s="96" customFormat="true" ht="13.5"/>
    <row r="4244" s="96" customFormat="true" ht="13.5"/>
    <row r="4245" s="96" customFormat="true" ht="13.5"/>
    <row r="4246" s="96" customFormat="true" ht="13.5"/>
    <row r="4247" s="96" customFormat="true" ht="13.5"/>
    <row r="4248" s="96" customFormat="true" ht="13.5"/>
    <row r="4249" s="96" customFormat="true" ht="13.5"/>
    <row r="4250" s="96" customFormat="true" ht="13.5"/>
    <row r="4251" s="96" customFormat="true" ht="13.5"/>
    <row r="4252" s="96" customFormat="true" ht="13.5"/>
    <row r="4253" s="96" customFormat="true" ht="13.5"/>
    <row r="4254" s="96" customFormat="true" ht="13.5"/>
    <row r="4255" s="96" customFormat="true" ht="13.5"/>
    <row r="4256" s="96" customFormat="true" ht="13.5"/>
    <row r="4257" s="96" customFormat="true" ht="13.5"/>
    <row r="4258" s="96" customFormat="true" ht="13.5"/>
    <row r="4259" s="96" customFormat="true" ht="13.5"/>
    <row r="4260" s="96" customFormat="true" ht="13.5"/>
    <row r="4261" s="96" customFormat="true" ht="13.5"/>
    <row r="4262" s="96" customFormat="true" ht="13.5"/>
    <row r="4263" s="96" customFormat="true" ht="13.5"/>
    <row r="4264" s="96" customFormat="true" ht="13.5"/>
    <row r="4265" s="96" customFormat="true" ht="13.5"/>
    <row r="4266" s="96" customFormat="true" ht="13.5"/>
    <row r="4267" s="96" customFormat="true" ht="13.5"/>
    <row r="4268" s="96" customFormat="true" ht="13.5"/>
    <row r="4269" s="96" customFormat="true" ht="13.5"/>
    <row r="4270" s="96" customFormat="true" ht="13.5"/>
    <row r="4271" s="96" customFormat="true" ht="13.5"/>
    <row r="4272" s="96" customFormat="true" ht="13.5"/>
    <row r="4273" s="96" customFormat="true" ht="13.5"/>
    <row r="4274" s="96" customFormat="true" ht="13.5"/>
    <row r="4275" s="96" customFormat="true" ht="13.5"/>
    <row r="4276" s="96" customFormat="true" ht="13.5"/>
    <row r="4277" s="96" customFormat="true" ht="13.5"/>
    <row r="4278" s="96" customFormat="true" ht="13.5"/>
    <row r="4279" s="96" customFormat="true" ht="13.5"/>
    <row r="4280" s="96" customFormat="true" ht="13.5"/>
    <row r="4281" s="96" customFormat="true" ht="13.5"/>
    <row r="4282" s="96" customFormat="true" ht="13.5"/>
    <row r="4283" s="96" customFormat="true" ht="13.5"/>
    <row r="4284" s="96" customFormat="true" ht="13.5"/>
    <row r="4285" s="96" customFormat="true" ht="13.5"/>
    <row r="4286" s="96" customFormat="true" ht="13.5"/>
    <row r="4287" s="96" customFormat="true" ht="13.5"/>
    <row r="4288" s="96" customFormat="true" ht="13.5"/>
    <row r="4289" s="96" customFormat="true" ht="13.5"/>
    <row r="4290" s="96" customFormat="true" ht="13.5"/>
    <row r="4291" s="96" customFormat="true" ht="13.5"/>
    <row r="4292" s="96" customFormat="true" ht="13.5"/>
    <row r="4293" s="96" customFormat="true" ht="13.5"/>
    <row r="4294" s="96" customFormat="true" ht="13.5"/>
    <row r="4295" s="96" customFormat="true" ht="13.5"/>
    <row r="4296" s="96" customFormat="true" ht="13.5"/>
    <row r="4297" s="96" customFormat="true" ht="13.5"/>
    <row r="4298" s="96" customFormat="true" ht="13.5"/>
    <row r="4299" s="96" customFormat="true" ht="13.5"/>
    <row r="4300" s="96" customFormat="true" ht="13.5"/>
    <row r="4301" s="96" customFormat="true" ht="13.5"/>
    <row r="4302" s="96" customFormat="true" ht="13.5"/>
    <row r="4303" s="96" customFormat="true" ht="13.5"/>
    <row r="4304" s="96" customFormat="true" ht="13.5"/>
    <row r="4305" s="96" customFormat="true" ht="13.5"/>
    <row r="4306" s="96" customFormat="true" ht="13.5"/>
    <row r="4307" s="96" customFormat="true" ht="13.5"/>
    <row r="4308" s="96" customFormat="true" ht="13.5"/>
    <row r="4309" s="96" customFormat="true" ht="13.5"/>
    <row r="4310" s="96" customFormat="true" ht="13.5"/>
    <row r="4311" s="96" customFormat="true" ht="13.5"/>
    <row r="4312" s="96" customFormat="true" ht="13.5"/>
    <row r="4313" s="96" customFormat="true" ht="13.5"/>
    <row r="4314" s="96" customFormat="true" ht="13.5"/>
    <row r="4315" s="96" customFormat="true" ht="13.5"/>
    <row r="4316" s="96" customFormat="true" ht="13.5"/>
    <row r="4317" s="96" customFormat="true" ht="13.5"/>
    <row r="4318" s="96" customFormat="true" ht="13.5"/>
    <row r="4319" s="96" customFormat="true" ht="13.5"/>
    <row r="4320" s="96" customFormat="true" ht="13.5"/>
    <row r="4321" s="96" customFormat="true" ht="13.5"/>
    <row r="4322" s="96" customFormat="true" ht="13.5"/>
    <row r="4323" s="96" customFormat="true" ht="13.5"/>
    <row r="4324" s="96" customFormat="true" ht="13.5"/>
    <row r="4325" s="96" customFormat="true" ht="13.5"/>
    <row r="4326" s="96" customFormat="true" ht="13.5"/>
    <row r="4327" s="96" customFormat="true" ht="13.5"/>
    <row r="4328" s="96" customFormat="true" ht="13.5"/>
    <row r="4329" s="96" customFormat="true" ht="13.5"/>
    <row r="4330" s="96" customFormat="true" ht="13.5"/>
    <row r="4331" s="96" customFormat="true" ht="13.5"/>
    <row r="4332" s="96" customFormat="true" ht="13.5"/>
    <row r="4333" s="96" customFormat="true" ht="13.5"/>
    <row r="4334" s="96" customFormat="true" ht="13.5"/>
    <row r="4335" s="96" customFormat="true" ht="13.5"/>
    <row r="4336" s="96" customFormat="true" ht="13.5"/>
    <row r="4337" s="96" customFormat="true" ht="13.5"/>
    <row r="4338" s="96" customFormat="true" ht="13.5"/>
    <row r="4339" s="96" customFormat="true" ht="13.5"/>
    <row r="4340" s="96" customFormat="true" ht="13.5"/>
    <row r="4341" s="96" customFormat="true" ht="13.5"/>
    <row r="4342" s="96" customFormat="true" ht="13.5"/>
    <row r="4343" s="96" customFormat="true" ht="13.5"/>
    <row r="4344" s="96" customFormat="true" ht="13.5"/>
    <row r="4345" s="96" customFormat="true" ht="13.5"/>
    <row r="4346" s="96" customFormat="true" ht="13.5"/>
    <row r="4347" s="96" customFormat="true" ht="13.5"/>
    <row r="4348" s="96" customFormat="true" ht="13.5"/>
    <row r="4349" s="96" customFormat="true" ht="13.5"/>
    <row r="4350" s="96" customFormat="true" ht="13.5"/>
    <row r="4351" s="96" customFormat="true" ht="13.5"/>
    <row r="4352" s="96" customFormat="true" ht="13.5"/>
    <row r="4353" s="96" customFormat="true" ht="13.5"/>
    <row r="4354" s="96" customFormat="true" ht="13.5"/>
    <row r="4355" s="96" customFormat="true" ht="13.5"/>
    <row r="4356" s="96" customFormat="true" ht="13.5"/>
    <row r="4357" s="96" customFormat="true" ht="13.5"/>
    <row r="4358" s="96" customFormat="true" ht="13.5"/>
    <row r="4359" s="96" customFormat="true" ht="13.5"/>
    <row r="4360" s="96" customFormat="true" ht="13.5"/>
    <row r="4361" s="96" customFormat="true" ht="13.5"/>
    <row r="4362" s="96" customFormat="true" ht="13.5"/>
    <row r="4363" s="96" customFormat="true" ht="13.5"/>
    <row r="4364" s="96" customFormat="true" ht="13.5"/>
    <row r="4365" s="96" customFormat="true" ht="13.5"/>
    <row r="4366" s="96" customFormat="true" ht="13.5"/>
    <row r="4367" s="96" customFormat="true" ht="13.5"/>
    <row r="4368" s="96" customFormat="true" ht="13.5"/>
    <row r="4369" s="96" customFormat="true" ht="13.5"/>
    <row r="4370" s="96" customFormat="true" ht="13.5"/>
    <row r="4371" s="96" customFormat="true" ht="13.5"/>
    <row r="4372" s="96" customFormat="true" ht="13.5"/>
    <row r="4373" s="96" customFormat="true" ht="13.5"/>
    <row r="4374" s="96" customFormat="true" ht="13.5"/>
    <row r="4375" s="96" customFormat="true" ht="13.5"/>
    <row r="4376" s="96" customFormat="true" ht="13.5"/>
    <row r="4377" s="96" customFormat="true" ht="13.5"/>
    <row r="4378" s="96" customFormat="true" ht="13.5"/>
    <row r="4379" s="96" customFormat="true" ht="13.5"/>
    <row r="4380" s="96" customFormat="true" ht="13.5"/>
    <row r="4381" s="96" customFormat="true" ht="13.5"/>
    <row r="4382" s="96" customFormat="true" ht="13.5"/>
    <row r="4383" s="96" customFormat="true" ht="13.5"/>
    <row r="4384" s="96" customFormat="true" ht="13.5"/>
    <row r="4385" s="96" customFormat="true" ht="13.5"/>
    <row r="4386" s="96" customFormat="true" ht="13.5"/>
    <row r="4387" s="96" customFormat="true" ht="13.5"/>
    <row r="4388" s="96" customFormat="true" ht="13.5"/>
    <row r="4389" s="96" customFormat="true" ht="13.5"/>
    <row r="4390" s="96" customFormat="true" ht="13.5"/>
    <row r="4391" s="96" customFormat="true" ht="13.5"/>
    <row r="4392" s="96" customFormat="true" ht="13.5"/>
    <row r="4393" s="96" customFormat="true" ht="13.5"/>
    <row r="4394" s="96" customFormat="true" ht="13.5"/>
    <row r="4395" s="96" customFormat="true" ht="13.5"/>
    <row r="4396" s="96" customFormat="true" ht="13.5"/>
    <row r="4397" s="96" customFormat="true" ht="13.5"/>
    <row r="4398" s="96" customFormat="true" ht="13.5"/>
    <row r="4399" s="96" customFormat="true" ht="13.5"/>
    <row r="4400" s="96" customFormat="true" ht="13.5"/>
    <row r="4401" s="96" customFormat="true" ht="13.5"/>
    <row r="4402" s="96" customFormat="true" ht="13.5"/>
    <row r="4403" s="96" customFormat="true" ht="13.5"/>
    <row r="4404" s="96" customFormat="true" ht="13.5"/>
    <row r="4405" s="96" customFormat="true" ht="13.5"/>
    <row r="4406" s="96" customFormat="true" ht="13.5"/>
    <row r="4407" s="96" customFormat="true" ht="13.5"/>
    <row r="4408" s="96" customFormat="true" ht="13.5"/>
    <row r="4409" s="96" customFormat="true" ht="13.5"/>
    <row r="4410" s="96" customFormat="true" ht="13.5"/>
    <row r="4411" s="96" customFormat="true" ht="13.5"/>
    <row r="4412" s="96" customFormat="true" ht="13.5"/>
    <row r="4413" s="96" customFormat="true" ht="13.5"/>
    <row r="4414" s="96" customFormat="true" ht="13.5"/>
    <row r="4415" s="96" customFormat="true" ht="13.5"/>
    <row r="4416" s="96" customFormat="true" ht="13.5"/>
    <row r="4417" s="96" customFormat="true" ht="13.5"/>
    <row r="4418" s="96" customFormat="true" ht="13.5"/>
    <row r="4419" s="96" customFormat="true" ht="13.5"/>
    <row r="4420" s="96" customFormat="true" ht="13.5"/>
    <row r="4421" s="96" customFormat="true" ht="13.5"/>
    <row r="4422" s="96" customFormat="true" ht="13.5"/>
    <row r="4423" s="96" customFormat="true" ht="13.5"/>
    <row r="4424" s="96" customFormat="true" ht="13.5"/>
    <row r="4425" s="96" customFormat="true" ht="13.5"/>
    <row r="4426" s="96" customFormat="true" ht="13.5"/>
    <row r="4427" s="96" customFormat="true" ht="13.5"/>
    <row r="4428" s="96" customFormat="true" ht="13.5"/>
    <row r="4429" s="96" customFormat="true" ht="13.5"/>
    <row r="4430" s="96" customFormat="true" ht="13.5"/>
    <row r="4431" s="96" customFormat="true" ht="13.5"/>
    <row r="4432" s="96" customFormat="true" ht="13.5"/>
    <row r="4433" s="96" customFormat="true" ht="13.5"/>
    <row r="4434" s="96" customFormat="true" ht="13.5"/>
    <row r="4435" s="96" customFormat="true" ht="13.5"/>
    <row r="4436" s="96" customFormat="true" ht="13.5"/>
    <row r="4437" s="96" customFormat="true" ht="13.5"/>
    <row r="4438" s="96" customFormat="true" ht="13.5"/>
    <row r="4439" s="96" customFormat="true" ht="13.5"/>
    <row r="4440" s="96" customFormat="true" ht="13.5"/>
    <row r="4441" s="96" customFormat="true" ht="13.5"/>
    <row r="4442" s="96" customFormat="true" ht="13.5"/>
    <row r="4443" s="96" customFormat="true" ht="13.5"/>
    <row r="4444" s="96" customFormat="true" ht="13.5"/>
    <row r="4445" s="96" customFormat="true" ht="13.5"/>
    <row r="4446" s="96" customFormat="true" ht="13.5"/>
    <row r="4447" s="96" customFormat="true" ht="13.5"/>
    <row r="4448" s="96" customFormat="true" ht="13.5"/>
    <row r="4449" s="96" customFormat="true" ht="13.5"/>
    <row r="4450" s="96" customFormat="true" ht="13.5"/>
    <row r="4451" s="96" customFormat="true" ht="13.5"/>
    <row r="4452" s="96" customFormat="true" ht="13.5"/>
    <row r="4453" s="96" customFormat="true" ht="13.5"/>
    <row r="4454" s="96" customFormat="true" ht="13.5"/>
    <row r="4455" s="96" customFormat="true" ht="13.5"/>
    <row r="4456" s="96" customFormat="true" ht="13.5"/>
    <row r="4457" s="96" customFormat="true" ht="13.5"/>
    <row r="4458" s="96" customFormat="true" ht="13.5"/>
    <row r="4459" s="96" customFormat="true" ht="13.5"/>
    <row r="4460" s="96" customFormat="true" ht="13.5"/>
    <row r="4461" s="96" customFormat="true" ht="13.5"/>
    <row r="4462" s="96" customFormat="true" ht="13.5"/>
    <row r="4463" s="96" customFormat="true" ht="13.5"/>
    <row r="4464" s="96" customFormat="true" ht="13.5"/>
    <row r="4465" s="96" customFormat="true" ht="13.5"/>
    <row r="4466" s="96" customFormat="true" ht="13.5"/>
    <row r="4467" s="96" customFormat="true" ht="13.5"/>
    <row r="4468" s="96" customFormat="true" ht="13.5"/>
    <row r="4469" s="96" customFormat="true" ht="13.5"/>
    <row r="4470" s="96" customFormat="true" ht="13.5"/>
    <row r="4471" s="96" customFormat="true" ht="13.5"/>
    <row r="4472" s="96" customFormat="true" ht="13.5"/>
    <row r="4473" s="96" customFormat="true" ht="13.5"/>
    <row r="4474" s="96" customFormat="true" ht="13.5"/>
    <row r="4475" s="96" customFormat="true" ht="13.5"/>
    <row r="4476" s="96" customFormat="true" ht="13.5"/>
    <row r="4477" s="96" customFormat="true" ht="13.5"/>
    <row r="4478" s="96" customFormat="true" ht="13.5"/>
    <row r="4479" s="96" customFormat="true" ht="13.5"/>
    <row r="4480" s="96" customFormat="true" ht="13.5"/>
    <row r="4481" s="96" customFormat="true" ht="13.5"/>
    <row r="4482" s="96" customFormat="true" ht="13.5"/>
    <row r="4483" s="96" customFormat="true" ht="13.5"/>
    <row r="4484" s="96" customFormat="true" ht="13.5"/>
    <row r="4485" s="96" customFormat="true" ht="13.5"/>
    <row r="4486" s="96" customFormat="true" ht="13.5"/>
    <row r="4487" s="96" customFormat="true" ht="13.5"/>
    <row r="4488" s="96" customFormat="true" ht="13.5"/>
    <row r="4489" s="96" customFormat="true" ht="13.5"/>
    <row r="4490" s="96" customFormat="true" ht="13.5"/>
    <row r="4491" s="96" customFormat="true" ht="13.5"/>
    <row r="4492" s="96" customFormat="true" ht="13.5"/>
    <row r="4493" s="96" customFormat="true" ht="13.5"/>
    <row r="4494" s="96" customFormat="true" ht="13.5"/>
    <row r="4495" s="96" customFormat="true" ht="13.5"/>
    <row r="4496" s="96" customFormat="true" ht="13.5"/>
    <row r="4497" s="96" customFormat="true" ht="13.5"/>
    <row r="4498" s="96" customFormat="true" ht="13.5"/>
    <row r="4499" s="96" customFormat="true" ht="13.5"/>
    <row r="4500" s="96" customFormat="true" ht="13.5"/>
    <row r="4501" s="96" customFormat="true" ht="13.5"/>
    <row r="4502" s="96" customFormat="true" ht="13.5"/>
    <row r="4503" s="96" customFormat="true" ht="13.5"/>
    <row r="4504" s="96" customFormat="true" ht="13.5"/>
    <row r="4505" s="96" customFormat="true" ht="13.5"/>
    <row r="4506" s="96" customFormat="true" ht="13.5"/>
    <row r="4507" s="96" customFormat="true" ht="13.5"/>
    <row r="4508" s="96" customFormat="true" ht="13.5"/>
    <row r="4509" s="96" customFormat="true" ht="13.5"/>
    <row r="4510" s="96" customFormat="true" ht="13.5"/>
    <row r="4511" s="96" customFormat="true" ht="13.5"/>
    <row r="4512" s="96" customFormat="true" ht="13.5"/>
    <row r="4513" s="96" customFormat="true" ht="13.5"/>
    <row r="4514" s="96" customFormat="true" ht="13.5"/>
    <row r="4515" s="96" customFormat="true" ht="13.5"/>
    <row r="4516" s="96" customFormat="true" ht="13.5"/>
    <row r="4517" s="96" customFormat="true" ht="13.5"/>
    <row r="4518" s="96" customFormat="true" ht="13.5"/>
    <row r="4519" s="96" customFormat="true" ht="13.5"/>
    <row r="4520" s="96" customFormat="true" ht="13.5"/>
    <row r="4521" s="96" customFormat="true" ht="13.5"/>
    <row r="4522" s="96" customFormat="true" ht="13.5"/>
    <row r="4523" s="96" customFormat="true" ht="13.5"/>
    <row r="4524" s="96" customFormat="true" ht="13.5"/>
    <row r="4525" s="96" customFormat="true" ht="13.5"/>
    <row r="4526" s="96" customFormat="true" ht="13.5"/>
    <row r="4527" s="96" customFormat="true" ht="13.5"/>
    <row r="4528" s="96" customFormat="true" ht="13.5"/>
    <row r="4529" s="96" customFormat="true" ht="13.5"/>
    <row r="4530" s="96" customFormat="true" ht="13.5"/>
    <row r="4531" s="96" customFormat="true" ht="13.5"/>
    <row r="4532" s="96" customFormat="true" ht="13.5"/>
    <row r="4533" s="96" customFormat="true" ht="13.5"/>
    <row r="4534" s="96" customFormat="true" ht="13.5"/>
    <row r="4535" s="96" customFormat="true" ht="13.5"/>
    <row r="4536" s="96" customFormat="true" ht="13.5"/>
    <row r="4537" s="96" customFormat="true" ht="13.5"/>
    <row r="4538" s="96" customFormat="true" ht="13.5"/>
    <row r="4539" s="96" customFormat="true" ht="13.5"/>
    <row r="4540" s="96" customFormat="true" ht="13.5"/>
    <row r="4541" s="96" customFormat="true" ht="13.5"/>
    <row r="4542" s="96" customFormat="true" ht="13.5"/>
    <row r="4543" s="96" customFormat="true" ht="13.5"/>
    <row r="4544" s="96" customFormat="true" ht="13.5"/>
    <row r="4545" s="96" customFormat="true" ht="13.5"/>
    <row r="4546" s="96" customFormat="true" ht="13.5"/>
    <row r="4547" s="96" customFormat="true" ht="13.5"/>
    <row r="4548" s="96" customFormat="true" ht="13.5"/>
    <row r="4549" s="96" customFormat="true" ht="13.5"/>
    <row r="4550" s="96" customFormat="true" ht="13.5"/>
    <row r="4551" s="96" customFormat="true" ht="13.5"/>
    <row r="4552" s="96" customFormat="true" ht="13.5"/>
    <row r="4553" s="96" customFormat="true" ht="13.5"/>
    <row r="4554" s="96" customFormat="true" ht="13.5"/>
    <row r="4555" s="96" customFormat="true" ht="13.5"/>
    <row r="4556" s="96" customFormat="true" ht="13.5"/>
    <row r="4557" s="96" customFormat="true" ht="13.5"/>
    <row r="4558" s="96" customFormat="true" ht="13.5"/>
    <row r="4559" s="96" customFormat="true" ht="13.5"/>
    <row r="4560" s="96" customFormat="true" ht="13.5"/>
    <row r="4561" s="96" customFormat="true" ht="13.5"/>
    <row r="4562" s="96" customFormat="true" ht="13.5"/>
    <row r="4563" s="96" customFormat="true" ht="13.5"/>
    <row r="4564" s="96" customFormat="true" ht="13.5"/>
    <row r="4565" s="96" customFormat="true" ht="13.5"/>
    <row r="4566" s="96" customFormat="true" ht="13.5"/>
    <row r="4567" s="96" customFormat="true" ht="13.5"/>
    <row r="4568" s="96" customFormat="true" ht="13.5"/>
    <row r="4569" s="96" customFormat="true" ht="13.5"/>
    <row r="4570" s="96" customFormat="true" ht="13.5"/>
    <row r="4571" s="96" customFormat="true" ht="13.5"/>
    <row r="4572" s="96" customFormat="true" ht="13.5"/>
    <row r="4573" s="96" customFormat="true" ht="13.5"/>
    <row r="4574" s="96" customFormat="true" ht="13.5"/>
    <row r="4575" s="96" customFormat="true" ht="13.5"/>
    <row r="4576" s="96" customFormat="true" ht="13.5"/>
    <row r="4577" s="96" customFormat="true" ht="13.5"/>
    <row r="4578" s="96" customFormat="true" ht="13.5"/>
    <row r="4579" s="96" customFormat="true" ht="13.5"/>
    <row r="4580" s="96" customFormat="true" ht="13.5"/>
    <row r="4581" s="96" customFormat="true" ht="13.5"/>
    <row r="4582" s="96" customFormat="true" ht="13.5"/>
    <row r="4583" s="96" customFormat="true" ht="13.5"/>
    <row r="4584" s="96" customFormat="true" ht="13.5"/>
    <row r="4585" s="96" customFormat="true" ht="13.5"/>
    <row r="4586" s="96" customFormat="true" ht="13.5"/>
    <row r="4587" s="96" customFormat="true" ht="13.5"/>
    <row r="4588" s="96" customFormat="true" ht="13.5"/>
    <row r="4589" s="96" customFormat="true" ht="13.5"/>
    <row r="4590" s="96" customFormat="true" ht="13.5"/>
    <row r="4591" s="96" customFormat="true" ht="13.5"/>
    <row r="4592" s="96" customFormat="true" ht="13.5"/>
    <row r="4593" s="96" customFormat="true" ht="13.5"/>
    <row r="4594" s="96" customFormat="true" ht="13.5"/>
    <row r="4595" s="96" customFormat="true" ht="13.5"/>
    <row r="4596" s="96" customFormat="true" ht="13.5"/>
    <row r="4597" s="96" customFormat="true" ht="13.5"/>
    <row r="4598" s="96" customFormat="true" ht="13.5"/>
    <row r="4599" s="96" customFormat="true" ht="13.5"/>
    <row r="4600" s="96" customFormat="true" ht="13.5"/>
    <row r="4601" s="96" customFormat="true" ht="13.5"/>
    <row r="4602" s="96" customFormat="true" ht="13.5"/>
    <row r="4603" s="96" customFormat="true" ht="13.5"/>
    <row r="4604" s="96" customFormat="true" ht="13.5"/>
    <row r="4605" s="96" customFormat="true" ht="13.5"/>
    <row r="4606" s="96" customFormat="true" ht="13.5"/>
    <row r="4607" s="96" customFormat="true" ht="13.5"/>
    <row r="4608" s="96" customFormat="true" ht="13.5"/>
    <row r="4609" s="96" customFormat="true" ht="13.5"/>
    <row r="4610" s="96" customFormat="true" ht="13.5"/>
    <row r="4611" s="96" customFormat="true" ht="13.5"/>
    <row r="4612" s="96" customFormat="true" ht="13.5"/>
    <row r="4613" s="96" customFormat="true" ht="13.5"/>
    <row r="4614" s="96" customFormat="true" ht="13.5"/>
    <row r="4615" s="96" customFormat="true" ht="13.5"/>
    <row r="4616" s="96" customFormat="true" ht="13.5"/>
    <row r="4617" s="96" customFormat="true" ht="13.5"/>
    <row r="4618" s="96" customFormat="true" ht="13.5"/>
    <row r="4619" s="96" customFormat="true" ht="13.5"/>
    <row r="4620" s="96" customFormat="true" ht="13.5"/>
    <row r="4621" s="96" customFormat="true" ht="13.5"/>
    <row r="4622" s="96" customFormat="true" ht="13.5"/>
    <row r="4623" s="96" customFormat="true" ht="13.5"/>
    <row r="4624" s="96" customFormat="true" ht="13.5"/>
    <row r="4625" s="96" customFormat="true" ht="13.5"/>
    <row r="4626" s="96" customFormat="true" ht="13.5"/>
    <row r="4627" s="96" customFormat="true" ht="13.5"/>
    <row r="4628" s="96" customFormat="true" ht="13.5"/>
    <row r="4629" s="96" customFormat="true" ht="13.5"/>
    <row r="4630" s="96" customFormat="true" ht="13.5"/>
    <row r="4631" s="96" customFormat="true" ht="13.5"/>
    <row r="4632" s="96" customFormat="true" ht="13.5"/>
    <row r="4633" s="96" customFormat="true" ht="13.5"/>
    <row r="4634" s="96" customFormat="true" ht="13.5"/>
    <row r="4635" s="96" customFormat="true" ht="13.5"/>
    <row r="4636" s="96" customFormat="true" ht="13.5"/>
    <row r="4637" s="96" customFormat="true" ht="13.5"/>
    <row r="4638" s="96" customFormat="true" ht="13.5"/>
    <row r="4639" s="96" customFormat="true" ht="13.5"/>
    <row r="4640" s="96" customFormat="true" ht="13.5"/>
    <row r="4641" s="96" customFormat="true" ht="13.5"/>
    <row r="4642" s="96" customFormat="true" ht="13.5"/>
    <row r="4643" s="96" customFormat="true" ht="13.5"/>
    <row r="4644" s="96" customFormat="true" ht="13.5"/>
    <row r="4645" s="96" customFormat="true" ht="13.5"/>
    <row r="4646" s="96" customFormat="true" ht="13.5"/>
    <row r="4647" s="96" customFormat="true" ht="13.5"/>
    <row r="4648" s="96" customFormat="true" ht="13.5"/>
    <row r="4649" s="96" customFormat="true" ht="13.5"/>
    <row r="4650" s="96" customFormat="true" ht="13.5"/>
    <row r="4651" s="96" customFormat="true" ht="13.5"/>
    <row r="4652" s="96" customFormat="true" ht="13.5"/>
    <row r="4653" s="96" customFormat="true" ht="13.5"/>
    <row r="4654" s="96" customFormat="true" ht="13.5"/>
    <row r="4655" s="96" customFormat="true" ht="13.5"/>
    <row r="4656" s="96" customFormat="true" ht="13.5"/>
    <row r="4657" s="96" customFormat="true" ht="13.5"/>
    <row r="4658" s="96" customFormat="true" ht="13.5"/>
    <row r="4659" s="96" customFormat="true" ht="13.5"/>
    <row r="4660" s="96" customFormat="true" ht="13.5"/>
    <row r="4661" s="96" customFormat="true" ht="13.5"/>
    <row r="4662" s="96" customFormat="true" ht="13.5"/>
    <row r="4663" s="96" customFormat="true" ht="13.5"/>
    <row r="4664" s="96" customFormat="true" ht="13.5"/>
    <row r="4665" s="96" customFormat="true" ht="13.5"/>
    <row r="4666" s="96" customFormat="true" ht="13.5"/>
    <row r="4667" s="96" customFormat="true" ht="13.5"/>
    <row r="4668" s="96" customFormat="true" ht="13.5"/>
    <row r="4669" s="96" customFormat="true" ht="13.5"/>
    <row r="4670" s="96" customFormat="true" ht="13.5"/>
    <row r="4671" s="96" customFormat="true" ht="13.5"/>
    <row r="4672" s="96" customFormat="true" ht="13.5"/>
    <row r="4673" s="96" customFormat="true" ht="13.5"/>
    <row r="4674" s="96" customFormat="true" ht="13.5"/>
    <row r="4675" s="96" customFormat="true" ht="13.5"/>
    <row r="4676" s="96" customFormat="true" ht="13.5"/>
    <row r="4677" s="96" customFormat="true" ht="13.5"/>
    <row r="4678" s="96" customFormat="true" ht="13.5"/>
    <row r="4679" s="96" customFormat="true" ht="13.5"/>
    <row r="4680" s="96" customFormat="true" ht="13.5"/>
    <row r="4681" s="96" customFormat="true" ht="13.5"/>
    <row r="4682" s="96" customFormat="true" ht="13.5"/>
    <row r="4683" s="96" customFormat="true" ht="13.5"/>
    <row r="4684" s="96" customFormat="true" ht="13.5"/>
    <row r="4685" s="96" customFormat="true" ht="13.5"/>
    <row r="4686" s="96" customFormat="true" ht="13.5"/>
    <row r="4687" s="96" customFormat="true" ht="13.5"/>
    <row r="4688" s="96" customFormat="true" ht="13.5"/>
    <row r="4689" s="96" customFormat="true" ht="13.5"/>
    <row r="4690" s="96" customFormat="true" ht="13.5"/>
    <row r="4691" s="96" customFormat="true" ht="13.5"/>
    <row r="4692" s="96" customFormat="true" ht="13.5"/>
    <row r="4693" s="96" customFormat="true" ht="13.5"/>
    <row r="4694" s="96" customFormat="true" ht="13.5"/>
    <row r="4695" s="96" customFormat="true" ht="13.5"/>
    <row r="4696" s="96" customFormat="true" ht="13.5"/>
    <row r="4697" s="96" customFormat="true" ht="13.5"/>
    <row r="4698" s="96" customFormat="true" ht="13.5"/>
    <row r="4699" s="96" customFormat="true" ht="13.5"/>
    <row r="4700" s="96" customFormat="true" ht="13.5"/>
    <row r="4701" s="96" customFormat="true" ht="13.5"/>
    <row r="4702" s="96" customFormat="true" ht="13.5"/>
    <row r="4703" s="96" customFormat="true" ht="13.5"/>
    <row r="4704" s="96" customFormat="true" ht="13.5"/>
    <row r="4705" s="96" customFormat="true" ht="13.5"/>
    <row r="4706" s="96" customFormat="true" ht="13.5"/>
    <row r="4707" s="96" customFormat="true" ht="13.5"/>
    <row r="4708" s="96" customFormat="true" ht="13.5"/>
    <row r="4709" s="96" customFormat="true" ht="13.5"/>
    <row r="4710" s="96" customFormat="true" ht="13.5"/>
    <row r="4711" s="96" customFormat="true" ht="13.5"/>
    <row r="4712" s="96" customFormat="true" ht="13.5"/>
    <row r="4713" s="96" customFormat="true" ht="13.5"/>
    <row r="4714" s="96" customFormat="true" ht="13.5"/>
    <row r="4715" s="96" customFormat="true" ht="13.5"/>
    <row r="4716" s="96" customFormat="true" ht="13.5"/>
    <row r="4717" s="96" customFormat="true" ht="13.5"/>
    <row r="4718" s="96" customFormat="true" ht="13.5"/>
    <row r="4719" s="96" customFormat="true" ht="13.5"/>
    <row r="4720" s="96" customFormat="true" ht="13.5"/>
    <row r="4721" s="96" customFormat="true" ht="13.5"/>
    <row r="4722" s="96" customFormat="true" ht="13.5"/>
    <row r="4723" s="96" customFormat="true" ht="13.5"/>
    <row r="4724" s="96" customFormat="true" ht="13.5"/>
    <row r="4725" s="96" customFormat="true" ht="13.5"/>
    <row r="4726" s="96" customFormat="true" ht="13.5"/>
    <row r="4727" s="96" customFormat="true" ht="13.5"/>
    <row r="4728" s="96" customFormat="true" ht="13.5"/>
    <row r="4729" s="96" customFormat="true" ht="13.5"/>
    <row r="4730" s="96" customFormat="true" ht="13.5"/>
    <row r="4731" s="96" customFormat="true" ht="13.5"/>
    <row r="4732" s="96" customFormat="true" ht="13.5"/>
    <row r="4733" s="96" customFormat="true" ht="13.5"/>
    <row r="4734" s="96" customFormat="true" ht="13.5"/>
    <row r="4735" s="96" customFormat="true" ht="13.5"/>
    <row r="4736" s="96" customFormat="true" ht="13.5"/>
    <row r="4737" s="96" customFormat="true" ht="13.5"/>
    <row r="4738" s="96" customFormat="true" ht="13.5"/>
    <row r="4739" s="96" customFormat="true" ht="13.5"/>
    <row r="4740" s="96" customFormat="true" ht="13.5"/>
    <row r="4741" s="96" customFormat="true" ht="13.5"/>
    <row r="4742" s="96" customFormat="true" ht="13.5"/>
    <row r="4743" s="96" customFormat="true" ht="13.5"/>
    <row r="4744" s="96" customFormat="true" ht="13.5"/>
    <row r="4745" s="96" customFormat="true" ht="13.5"/>
    <row r="4746" s="96" customFormat="true" ht="13.5"/>
    <row r="4747" s="96" customFormat="true" ht="13.5"/>
    <row r="4748" s="96" customFormat="true" ht="13.5"/>
    <row r="4749" s="96" customFormat="true" ht="13.5"/>
    <row r="4750" s="96" customFormat="true" ht="13.5"/>
    <row r="4751" s="96" customFormat="true" ht="13.5"/>
    <row r="4752" s="96" customFormat="true" ht="13.5"/>
    <row r="4753" s="96" customFormat="true" ht="13.5"/>
    <row r="4754" s="96" customFormat="true" ht="13.5"/>
    <row r="4755" s="96" customFormat="true" ht="13.5"/>
    <row r="4756" s="96" customFormat="true" ht="13.5"/>
    <row r="4757" s="96" customFormat="true" ht="13.5"/>
    <row r="4758" s="96" customFormat="true" ht="13.5"/>
    <row r="4759" s="96" customFormat="true" ht="13.5"/>
    <row r="4760" s="96" customFormat="true" ht="13.5"/>
    <row r="4761" s="96" customFormat="true" ht="13.5"/>
    <row r="4762" s="96" customFormat="true" ht="13.5"/>
    <row r="4763" s="96" customFormat="true" ht="13.5"/>
    <row r="4764" s="96" customFormat="true" ht="13.5"/>
    <row r="4765" s="96" customFormat="true" ht="13.5"/>
    <row r="4766" s="96" customFormat="true" ht="13.5"/>
    <row r="4767" s="96" customFormat="true" ht="13.5"/>
    <row r="4768" s="96" customFormat="true" ht="13.5"/>
    <row r="4769" s="96" customFormat="true" ht="13.5"/>
    <row r="4770" s="96" customFormat="true" ht="13.5"/>
    <row r="4771" s="96" customFormat="true" ht="13.5"/>
    <row r="4772" s="96" customFormat="true" ht="13.5"/>
    <row r="4773" s="96" customFormat="true" ht="13.5"/>
    <row r="4774" s="96" customFormat="true" ht="13.5"/>
    <row r="4775" s="96" customFormat="true" ht="13.5"/>
    <row r="4776" s="96" customFormat="true" ht="13.5"/>
    <row r="4777" s="96" customFormat="true" ht="13.5"/>
    <row r="4778" s="96" customFormat="true" ht="13.5"/>
    <row r="4779" s="96" customFormat="true" ht="13.5"/>
    <row r="4780" s="96" customFormat="true" ht="13.5"/>
    <row r="4781" s="96" customFormat="true" ht="13.5"/>
    <row r="4782" s="96" customFormat="true" ht="13.5"/>
    <row r="4783" s="96" customFormat="true" ht="13.5"/>
    <row r="4784" s="96" customFormat="true" ht="13.5"/>
    <row r="4785" s="96" customFormat="true" ht="13.5"/>
    <row r="4786" s="96" customFormat="true" ht="13.5"/>
    <row r="4787" s="96" customFormat="true" ht="13.5"/>
    <row r="4788" s="96" customFormat="true" ht="13.5"/>
    <row r="4789" s="96" customFormat="true" ht="13.5"/>
    <row r="4790" s="96" customFormat="true" ht="13.5"/>
    <row r="4791" s="96" customFormat="true" ht="13.5"/>
    <row r="4792" s="96" customFormat="true" ht="13.5"/>
    <row r="4793" s="96" customFormat="true" ht="13.5"/>
    <row r="4794" s="96" customFormat="true" ht="13.5"/>
    <row r="4795" s="96" customFormat="true" ht="13.5"/>
    <row r="4796" s="96" customFormat="true" ht="13.5"/>
    <row r="4797" s="96" customFormat="true" ht="13.5"/>
    <row r="4798" s="96" customFormat="true" ht="13.5"/>
    <row r="4799" s="96" customFormat="true" ht="13.5"/>
    <row r="4800" s="96" customFormat="true" ht="13.5"/>
    <row r="4801" s="96" customFormat="true" ht="13.5"/>
    <row r="4802" s="96" customFormat="true" ht="13.5"/>
    <row r="4803" s="96" customFormat="true" ht="13.5"/>
    <row r="4804" s="96" customFormat="true" ht="13.5"/>
    <row r="4805" s="96" customFormat="true" ht="13.5"/>
    <row r="4806" s="96" customFormat="true" ht="13.5"/>
    <row r="4807" s="96" customFormat="true" ht="13.5"/>
    <row r="4808" s="96" customFormat="true" ht="13.5"/>
    <row r="4809" s="96" customFormat="true" ht="13.5"/>
    <row r="4810" s="96" customFormat="true" ht="13.5"/>
    <row r="4811" s="96" customFormat="true" ht="13.5"/>
    <row r="4812" s="96" customFormat="true" ht="13.5"/>
    <row r="4813" s="96" customFormat="true" ht="13.5"/>
    <row r="4814" s="96" customFormat="true" ht="13.5"/>
    <row r="4815" s="96" customFormat="true" ht="13.5"/>
    <row r="4816" s="96" customFormat="true" ht="13.5"/>
    <row r="4817" s="96" customFormat="true" ht="13.5"/>
    <row r="4818" s="96" customFormat="true" ht="13.5"/>
    <row r="4819" s="96" customFormat="true" ht="13.5"/>
    <row r="4820" s="96" customFormat="true" ht="13.5"/>
    <row r="4821" s="96" customFormat="true" ht="13.5"/>
    <row r="4822" s="96" customFormat="true" ht="13.5"/>
    <row r="4823" s="96" customFormat="true" ht="13.5"/>
    <row r="4824" s="96" customFormat="true" ht="13.5"/>
    <row r="4825" s="96" customFormat="true" ht="13.5"/>
    <row r="4826" s="96" customFormat="true" ht="13.5"/>
    <row r="4827" s="96" customFormat="true" ht="13.5"/>
    <row r="4828" s="96" customFormat="true" ht="13.5"/>
    <row r="4829" s="96" customFormat="true" ht="13.5"/>
    <row r="4830" s="96" customFormat="true" ht="13.5"/>
    <row r="4831" s="96" customFormat="true" ht="13.5"/>
    <row r="4832" s="96" customFormat="true" ht="13.5"/>
    <row r="4833" s="96" customFormat="true" ht="13.5"/>
    <row r="4834" s="96" customFormat="true" ht="13.5"/>
    <row r="4835" s="96" customFormat="true" ht="13.5"/>
    <row r="4836" s="96" customFormat="true" ht="13.5"/>
    <row r="4837" s="96" customFormat="true" ht="13.5"/>
    <row r="4838" s="96" customFormat="true" ht="13.5"/>
    <row r="4839" s="96" customFormat="true" ht="13.5"/>
    <row r="4840" s="96" customFormat="true" ht="13.5"/>
    <row r="4841" s="96" customFormat="true" ht="13.5"/>
    <row r="4842" s="96" customFormat="true" ht="13.5"/>
    <row r="4843" s="96" customFormat="true" ht="13.5"/>
    <row r="4844" s="96" customFormat="true" ht="13.5"/>
    <row r="4845" s="96" customFormat="true" ht="13.5"/>
    <row r="4846" s="96" customFormat="true" ht="13.5"/>
    <row r="4847" s="96" customFormat="true" ht="13.5"/>
    <row r="4848" s="96" customFormat="true" ht="13.5"/>
    <row r="4849" s="96" customFormat="true" ht="13.5"/>
    <row r="4850" s="96" customFormat="true" ht="13.5"/>
    <row r="4851" s="96" customFormat="true" ht="13.5"/>
    <row r="4852" s="96" customFormat="true" ht="13.5"/>
    <row r="4853" s="96" customFormat="true" ht="13.5"/>
    <row r="4854" s="96" customFormat="true" ht="13.5"/>
    <row r="4855" s="96" customFormat="true" ht="13.5"/>
    <row r="4856" s="96" customFormat="true" ht="13.5"/>
    <row r="4857" s="96" customFormat="true" ht="13.5"/>
    <row r="4858" s="96" customFormat="true" ht="13.5"/>
    <row r="4859" s="96" customFormat="true" ht="13.5"/>
    <row r="4860" s="96" customFormat="true" ht="13.5"/>
    <row r="4861" s="96" customFormat="true" ht="13.5"/>
    <row r="4862" s="96" customFormat="true" ht="13.5"/>
    <row r="4863" s="96" customFormat="true" ht="13.5"/>
    <row r="4864" s="96" customFormat="true" ht="13.5"/>
    <row r="4865" s="96" customFormat="true" ht="13.5"/>
    <row r="4866" s="96" customFormat="true" ht="13.5"/>
    <row r="4867" s="96" customFormat="true" ht="13.5"/>
    <row r="4868" s="96" customFormat="true" ht="13.5"/>
    <row r="4869" s="96" customFormat="true" ht="13.5"/>
    <row r="4870" s="96" customFormat="true" ht="13.5"/>
    <row r="4871" s="96" customFormat="true" ht="13.5"/>
    <row r="4872" s="96" customFormat="true" ht="13.5"/>
    <row r="4873" s="96" customFormat="true" ht="13.5"/>
    <row r="4874" s="96" customFormat="true" ht="13.5"/>
    <row r="4875" s="96" customFormat="true" ht="13.5"/>
    <row r="4876" s="96" customFormat="true" ht="13.5"/>
    <row r="4877" s="96" customFormat="true" ht="13.5"/>
    <row r="4878" s="96" customFormat="true" ht="13.5"/>
    <row r="4879" s="96" customFormat="true" ht="13.5"/>
    <row r="4880" s="96" customFormat="true" ht="13.5"/>
    <row r="4881" s="96" customFormat="true" ht="13.5"/>
    <row r="4882" s="96" customFormat="true" ht="13.5"/>
    <row r="4883" s="96" customFormat="true" ht="13.5"/>
    <row r="4884" s="96" customFormat="true" ht="13.5"/>
    <row r="4885" s="96" customFormat="true" ht="13.5"/>
    <row r="4886" s="96" customFormat="true" ht="13.5"/>
    <row r="4887" s="96" customFormat="true" ht="13.5"/>
    <row r="4888" s="96" customFormat="true" ht="13.5"/>
    <row r="4889" s="96" customFormat="true" ht="13.5"/>
    <row r="4890" s="96" customFormat="true" ht="13.5"/>
    <row r="4891" s="96" customFormat="true" ht="13.5"/>
    <row r="4892" s="96" customFormat="true" ht="13.5"/>
    <row r="4893" s="96" customFormat="true" ht="13.5"/>
    <row r="4894" s="96" customFormat="true" ht="13.5"/>
    <row r="4895" s="96" customFormat="true" ht="13.5"/>
    <row r="4896" s="96" customFormat="true" ht="13.5"/>
    <row r="4897" s="96" customFormat="true" ht="13.5"/>
    <row r="4898" s="96" customFormat="true" ht="13.5"/>
    <row r="4899" s="96" customFormat="true" ht="13.5"/>
    <row r="4900" s="96" customFormat="true" ht="13.5"/>
    <row r="4901" s="96" customFormat="true" ht="13.5"/>
    <row r="4902" s="96" customFormat="true" ht="13.5"/>
    <row r="4903" s="96" customFormat="true" ht="13.5"/>
    <row r="4904" s="96" customFormat="true" ht="13.5"/>
    <row r="4905" s="96" customFormat="true" ht="13.5"/>
    <row r="4906" s="96" customFormat="true" ht="13.5"/>
    <row r="4907" s="96" customFormat="true" ht="13.5"/>
    <row r="4908" s="96" customFormat="true" ht="13.5"/>
    <row r="4909" s="96" customFormat="true" ht="13.5"/>
    <row r="4910" s="96" customFormat="true" ht="13.5"/>
    <row r="4911" s="96" customFormat="true" ht="13.5"/>
    <row r="4912" s="96" customFormat="true" ht="13.5"/>
    <row r="4913" s="96" customFormat="true" ht="13.5"/>
    <row r="4914" s="96" customFormat="true" ht="13.5"/>
    <row r="4915" s="96" customFormat="true" ht="13.5"/>
    <row r="4916" s="96" customFormat="true" ht="13.5"/>
    <row r="4917" s="96" customFormat="true" ht="13.5"/>
    <row r="4918" s="96" customFormat="true" ht="13.5"/>
    <row r="4919" s="96" customFormat="true" ht="13.5"/>
    <row r="4920" s="96" customFormat="true" ht="13.5"/>
    <row r="4921" s="96" customFormat="true" ht="13.5"/>
    <row r="4922" s="96" customFormat="true" ht="13.5"/>
    <row r="4923" s="96" customFormat="true" ht="13.5"/>
    <row r="4924" s="96" customFormat="true" ht="13.5"/>
    <row r="4925" s="96" customFormat="true" ht="13.5"/>
    <row r="4926" s="96" customFormat="true" ht="13.5"/>
    <row r="4927" s="96" customFormat="true" ht="13.5"/>
    <row r="4928" s="96" customFormat="true" ht="13.5"/>
    <row r="4929" s="96" customFormat="true" ht="13.5"/>
    <row r="4930" s="96" customFormat="true" ht="13.5"/>
    <row r="4931" s="96" customFormat="true" ht="13.5"/>
    <row r="4932" s="96" customFormat="true" ht="13.5"/>
    <row r="4933" s="96" customFormat="true" ht="13.5"/>
    <row r="4934" s="96" customFormat="true" ht="13.5"/>
    <row r="4935" s="96" customFormat="true" ht="13.5"/>
    <row r="4936" s="96" customFormat="true" ht="13.5"/>
    <row r="4937" s="96" customFormat="true" ht="13.5"/>
    <row r="4938" s="96" customFormat="true" ht="13.5"/>
    <row r="4939" s="96" customFormat="true" ht="13.5"/>
    <row r="4940" s="96" customFormat="true" ht="13.5"/>
    <row r="4941" s="96" customFormat="true" ht="13.5"/>
    <row r="4942" s="96" customFormat="true" ht="13.5"/>
    <row r="4943" s="96" customFormat="true" ht="13.5"/>
    <row r="4944" s="96" customFormat="true" ht="13.5"/>
    <row r="4945" s="96" customFormat="true" ht="13.5"/>
    <row r="4946" s="96" customFormat="true" ht="13.5"/>
    <row r="4947" s="96" customFormat="true" ht="13.5"/>
    <row r="4948" s="96" customFormat="true" ht="13.5"/>
    <row r="4949" s="96" customFormat="true" ht="13.5"/>
    <row r="4950" s="96" customFormat="true" ht="13.5"/>
    <row r="4951" s="96" customFormat="true" ht="13.5"/>
    <row r="4952" s="96" customFormat="true" ht="13.5"/>
    <row r="4953" s="96" customFormat="true" ht="13.5"/>
    <row r="4954" s="96" customFormat="true" ht="13.5"/>
    <row r="4955" s="96" customFormat="true" ht="13.5"/>
    <row r="4956" s="96" customFormat="true" ht="13.5"/>
    <row r="4957" s="96" customFormat="true" ht="13.5"/>
    <row r="4958" s="96" customFormat="true" ht="13.5"/>
    <row r="4959" s="96" customFormat="true" ht="13.5"/>
    <row r="4960" s="96" customFormat="true" ht="13.5"/>
    <row r="4961" s="96" customFormat="true" ht="13.5"/>
    <row r="4962" s="96" customFormat="true" ht="13.5"/>
    <row r="4963" s="96" customFormat="true" ht="13.5"/>
    <row r="4964" s="96" customFormat="true" ht="13.5"/>
    <row r="4965" s="96" customFormat="true" ht="13.5"/>
    <row r="4966" s="96" customFormat="true" ht="13.5"/>
    <row r="4967" s="96" customFormat="true" ht="13.5"/>
    <row r="4968" s="96" customFormat="true" ht="13.5"/>
    <row r="4969" s="96" customFormat="true" ht="13.5"/>
    <row r="4970" s="96" customFormat="true" ht="13.5"/>
    <row r="4971" s="96" customFormat="true" ht="13.5"/>
    <row r="4972" s="96" customFormat="true" ht="13.5"/>
    <row r="4973" s="96" customFormat="true" ht="13.5"/>
    <row r="4974" s="96" customFormat="true" ht="13.5"/>
    <row r="4975" s="96" customFormat="true" ht="13.5"/>
    <row r="4976" s="96" customFormat="true" ht="13.5"/>
    <row r="4977" s="96" customFormat="true" ht="13.5"/>
    <row r="4978" s="96" customFormat="true" ht="13.5"/>
    <row r="4979" s="96" customFormat="true" ht="13.5"/>
    <row r="4980" s="96" customFormat="true" ht="13.5"/>
    <row r="4981" s="96" customFormat="true" ht="13.5"/>
    <row r="4982" s="96" customFormat="true" ht="13.5"/>
    <row r="4983" s="96" customFormat="true" ht="13.5"/>
    <row r="4984" s="96" customFormat="true" ht="13.5"/>
    <row r="4985" s="96" customFormat="true" ht="13.5"/>
    <row r="4986" s="96" customFormat="true" ht="13.5"/>
    <row r="4987" s="96" customFormat="true" ht="13.5"/>
    <row r="4988" s="96" customFormat="true" ht="13.5"/>
    <row r="4989" s="96" customFormat="true" ht="13.5"/>
    <row r="4990" s="96" customFormat="true" ht="13.5"/>
    <row r="4991" s="96" customFormat="true" ht="13.5"/>
    <row r="4992" s="96" customFormat="true" ht="13.5"/>
    <row r="4993" s="96" customFormat="true" ht="13.5"/>
    <row r="4994" s="96" customFormat="true" ht="13.5"/>
    <row r="4995" s="96" customFormat="true" ht="13.5"/>
    <row r="4996" s="96" customFormat="true" ht="13.5"/>
    <row r="4997" s="96" customFormat="true" ht="13.5"/>
    <row r="4998" s="96" customFormat="true" ht="13.5"/>
    <row r="4999" s="96" customFormat="true" ht="13.5"/>
    <row r="5000" s="96" customFormat="true" ht="13.5"/>
    <row r="5001" s="96" customFormat="true" ht="13.5"/>
    <row r="5002" s="96" customFormat="true" ht="13.5"/>
    <row r="5003" s="96" customFormat="true" ht="13.5"/>
    <row r="5004" s="96" customFormat="true" ht="13.5"/>
    <row r="5005" s="96" customFormat="true" ht="13.5"/>
    <row r="5006" s="96" customFormat="true" ht="13.5"/>
    <row r="5007" s="96" customFormat="true" ht="13.5"/>
    <row r="5008" s="96" customFormat="true" ht="13.5"/>
    <row r="5009" s="96" customFormat="true" ht="13.5"/>
    <row r="5010" s="96" customFormat="true" ht="13.5"/>
    <row r="5011" s="96" customFormat="true" ht="13.5"/>
    <row r="5012" s="96" customFormat="true" ht="13.5"/>
    <row r="5013" s="96" customFormat="true" ht="13.5"/>
    <row r="5014" s="96" customFormat="true" ht="13.5"/>
    <row r="5015" s="96" customFormat="true" ht="13.5"/>
    <row r="5016" s="96" customFormat="true" ht="13.5"/>
    <row r="5017" s="96" customFormat="true" ht="13.5"/>
    <row r="5018" s="96" customFormat="true" ht="13.5"/>
    <row r="5019" s="96" customFormat="true" ht="13.5"/>
    <row r="5020" s="96" customFormat="true" ht="13.5"/>
    <row r="5021" s="96" customFormat="true" ht="13.5"/>
    <row r="5022" s="96" customFormat="true" ht="13.5"/>
    <row r="5023" s="96" customFormat="true" ht="13.5"/>
    <row r="5024" s="96" customFormat="true" ht="13.5"/>
    <row r="5025" s="96" customFormat="true" ht="13.5"/>
    <row r="5026" s="96" customFormat="true" ht="13.5"/>
    <row r="5027" s="96" customFormat="true" ht="13.5"/>
    <row r="5028" s="96" customFormat="true" ht="13.5"/>
    <row r="5029" s="96" customFormat="true" ht="13.5"/>
    <row r="5030" s="96" customFormat="true" ht="13.5"/>
    <row r="5031" s="96" customFormat="true" ht="13.5"/>
    <row r="5032" s="96" customFormat="true" ht="13.5"/>
    <row r="5033" s="96" customFormat="true" ht="13.5"/>
    <row r="5034" s="96" customFormat="true" ht="13.5"/>
    <row r="5035" s="96" customFormat="true" ht="13.5"/>
    <row r="5036" s="96" customFormat="true" ht="13.5"/>
    <row r="5037" s="96" customFormat="true" ht="13.5"/>
    <row r="5038" s="96" customFormat="true" ht="13.5"/>
    <row r="5039" s="96" customFormat="true" ht="13.5"/>
    <row r="5040" s="96" customFormat="true" ht="13.5"/>
    <row r="5041" s="96" customFormat="true" ht="13.5"/>
    <row r="5042" s="96" customFormat="true" ht="13.5"/>
    <row r="5043" s="96" customFormat="true" ht="13.5"/>
    <row r="5044" s="96" customFormat="true" ht="13.5"/>
    <row r="5045" s="96" customFormat="true" ht="13.5"/>
    <row r="5046" s="96" customFormat="true" ht="13.5"/>
    <row r="5047" s="96" customFormat="true" ht="13.5"/>
    <row r="5048" s="96" customFormat="true" ht="13.5"/>
    <row r="5049" s="96" customFormat="true" ht="13.5"/>
    <row r="5050" s="96" customFormat="true" ht="13.5"/>
    <row r="5051" s="96" customFormat="true" ht="13.5"/>
    <row r="5052" s="96" customFormat="true" ht="13.5"/>
    <row r="5053" s="96" customFormat="true" ht="13.5"/>
    <row r="5054" s="96" customFormat="true" ht="13.5"/>
    <row r="5055" s="96" customFormat="true" ht="13.5"/>
    <row r="5056" s="96" customFormat="true" ht="13.5"/>
    <row r="5057" s="96" customFormat="true" ht="13.5"/>
    <row r="5058" s="96" customFormat="true" ht="13.5"/>
    <row r="5059" s="96" customFormat="true" ht="13.5"/>
    <row r="5060" s="96" customFormat="true" ht="13.5"/>
    <row r="5061" s="96" customFormat="true" ht="13.5"/>
    <row r="5062" s="96" customFormat="true" ht="13.5"/>
    <row r="5063" s="96" customFormat="true" ht="13.5"/>
    <row r="5064" s="96" customFormat="true" ht="13.5"/>
    <row r="5065" s="96" customFormat="true" ht="13.5"/>
    <row r="5066" s="96" customFormat="true" ht="13.5"/>
    <row r="5067" s="96" customFormat="true" ht="13.5"/>
    <row r="5068" s="96" customFormat="true" ht="13.5"/>
    <row r="5069" s="96" customFormat="true" ht="13.5"/>
    <row r="5070" s="96" customFormat="true" ht="13.5"/>
    <row r="5071" s="96" customFormat="true" ht="13.5"/>
    <row r="5072" s="96" customFormat="true" ht="13.5"/>
    <row r="5073" s="96" customFormat="true" ht="13.5"/>
    <row r="5074" s="96" customFormat="true" ht="13.5"/>
    <row r="5075" s="96" customFormat="true" ht="13.5"/>
    <row r="5076" s="96" customFormat="true" ht="13.5"/>
    <row r="5077" s="96" customFormat="true" ht="13.5"/>
    <row r="5078" s="96" customFormat="true" ht="13.5"/>
    <row r="5079" s="96" customFormat="true" ht="13.5"/>
    <row r="5080" s="96" customFormat="true" ht="13.5"/>
    <row r="5081" s="96" customFormat="true" ht="13.5"/>
    <row r="5082" s="96" customFormat="true" ht="13.5"/>
    <row r="5083" s="96" customFormat="true" ht="13.5"/>
    <row r="5084" s="96" customFormat="true" ht="13.5"/>
    <row r="5085" s="96" customFormat="true" ht="13.5"/>
    <row r="5086" s="96" customFormat="true" ht="13.5"/>
    <row r="5087" s="96" customFormat="true" ht="13.5"/>
    <row r="5088" s="96" customFormat="true" ht="13.5"/>
    <row r="5089" s="96" customFormat="true" ht="13.5"/>
    <row r="5090" s="96" customFormat="true" ht="13.5"/>
    <row r="5091" s="96" customFormat="true" ht="13.5"/>
    <row r="5092" s="96" customFormat="true" ht="13.5"/>
    <row r="5093" s="96" customFormat="true" ht="13.5"/>
    <row r="5094" s="96" customFormat="true" ht="13.5"/>
    <row r="5095" s="96" customFormat="true" ht="13.5"/>
    <row r="5096" s="96" customFormat="true" ht="13.5"/>
    <row r="5097" s="96" customFormat="true" ht="13.5"/>
    <row r="5098" s="96" customFormat="true" ht="13.5"/>
    <row r="5099" s="96" customFormat="true" ht="13.5"/>
    <row r="5100" s="96" customFormat="true" ht="13.5"/>
    <row r="5101" s="96" customFormat="true" ht="13.5"/>
    <row r="5102" s="96" customFormat="true" ht="13.5"/>
    <row r="5103" s="96" customFormat="true" ht="13.5"/>
    <row r="5104" s="96" customFormat="true" ht="13.5"/>
    <row r="5105" s="96" customFormat="true" ht="13.5"/>
    <row r="5106" s="96" customFormat="true" ht="13.5"/>
    <row r="5107" s="96" customFormat="true" ht="13.5"/>
    <row r="5108" s="96" customFormat="true" ht="13.5"/>
    <row r="5109" s="96" customFormat="true" ht="13.5"/>
    <row r="5110" s="96" customFormat="true" ht="13.5"/>
    <row r="5111" s="96" customFormat="true" ht="13.5"/>
    <row r="5112" s="96" customFormat="true" ht="13.5"/>
    <row r="5113" s="96" customFormat="true" ht="13.5"/>
    <row r="5114" s="96" customFormat="true" ht="13.5"/>
    <row r="5115" s="96" customFormat="true" ht="13.5"/>
    <row r="5116" s="96" customFormat="true" ht="13.5"/>
    <row r="5117" s="96" customFormat="true" ht="13.5"/>
    <row r="5118" s="96" customFormat="true" ht="13.5"/>
    <row r="5119" s="96" customFormat="true" ht="13.5"/>
    <row r="5120" s="96" customFormat="true" ht="13.5"/>
    <row r="5121" s="96" customFormat="true" ht="13.5"/>
    <row r="5122" s="96" customFormat="true" ht="13.5"/>
    <row r="5123" s="96" customFormat="true" ht="13.5"/>
    <row r="5124" s="96" customFormat="true" ht="13.5"/>
    <row r="5125" s="96" customFormat="true" ht="13.5"/>
    <row r="5126" s="96" customFormat="true" ht="13.5"/>
    <row r="5127" s="96" customFormat="true" ht="13.5"/>
    <row r="5128" s="96" customFormat="true" ht="13.5"/>
    <row r="5129" s="96" customFormat="true" ht="13.5"/>
    <row r="5130" s="96" customFormat="true" ht="13.5"/>
    <row r="5131" s="96" customFormat="true" ht="13.5"/>
    <row r="5132" s="96" customFormat="true" ht="13.5"/>
    <row r="5133" s="96" customFormat="true" ht="13.5"/>
    <row r="5134" s="96" customFormat="true" ht="13.5"/>
    <row r="5135" s="96" customFormat="true" ht="13.5"/>
    <row r="5136" s="96" customFormat="true" ht="13.5"/>
    <row r="5137" s="96" customFormat="true" ht="13.5"/>
    <row r="5138" s="96" customFormat="true" ht="13.5"/>
    <row r="5139" s="96" customFormat="true" ht="13.5"/>
    <row r="5140" s="96" customFormat="true" ht="13.5"/>
    <row r="5141" s="96" customFormat="true" ht="13.5"/>
    <row r="5142" s="96" customFormat="true" ht="13.5"/>
    <row r="5143" s="96" customFormat="true" ht="13.5"/>
    <row r="5144" s="96" customFormat="true" ht="13.5"/>
    <row r="5145" s="96" customFormat="true" ht="13.5"/>
    <row r="5146" s="96" customFormat="true" ht="13.5"/>
    <row r="5147" s="96" customFormat="true" ht="13.5"/>
    <row r="5148" s="96" customFormat="true" ht="13.5"/>
    <row r="5149" s="96" customFormat="true" ht="13.5"/>
    <row r="5150" s="96" customFormat="true" ht="13.5"/>
    <row r="5151" s="96" customFormat="true" ht="13.5"/>
    <row r="5152" s="96" customFormat="true" ht="13.5"/>
    <row r="5153" s="96" customFormat="true" ht="13.5"/>
    <row r="5154" s="96" customFormat="true" ht="13.5"/>
    <row r="5155" s="96" customFormat="true" ht="13.5"/>
    <row r="5156" s="96" customFormat="true" ht="13.5"/>
    <row r="5157" s="96" customFormat="true" ht="13.5"/>
    <row r="5158" s="96" customFormat="true" ht="13.5"/>
    <row r="5159" s="96" customFormat="true" ht="13.5"/>
    <row r="5160" s="96" customFormat="true" ht="13.5"/>
    <row r="5161" s="96" customFormat="true" ht="13.5"/>
    <row r="5162" s="96" customFormat="true" ht="13.5"/>
    <row r="5163" s="96" customFormat="true" ht="13.5"/>
    <row r="5164" s="96" customFormat="true" ht="13.5"/>
    <row r="5165" s="96" customFormat="true" ht="13.5"/>
    <row r="5166" s="96" customFormat="true" ht="13.5"/>
    <row r="5167" s="96" customFormat="true" ht="13.5"/>
    <row r="5168" s="96" customFormat="true" ht="13.5"/>
    <row r="5169" s="96" customFormat="true" ht="13.5"/>
    <row r="5170" s="96" customFormat="true" ht="13.5"/>
    <row r="5171" s="96" customFormat="true" ht="13.5"/>
    <row r="5172" s="96" customFormat="true" ht="13.5"/>
    <row r="5173" s="96" customFormat="true" ht="13.5"/>
    <row r="5174" s="96" customFormat="true" ht="13.5"/>
    <row r="5175" s="96" customFormat="true" ht="13.5"/>
    <row r="5176" s="96" customFormat="true" ht="13.5"/>
    <row r="5177" s="96" customFormat="true" ht="13.5"/>
    <row r="5178" s="96" customFormat="true" ht="13.5"/>
    <row r="5179" s="96" customFormat="true" ht="13.5"/>
    <row r="5180" s="96" customFormat="true" ht="13.5"/>
    <row r="5181" s="96" customFormat="true" ht="13.5"/>
    <row r="5182" s="96" customFormat="true" ht="13.5"/>
    <row r="5183" s="96" customFormat="true" ht="13.5"/>
    <row r="5184" s="96" customFormat="true" ht="13.5"/>
    <row r="5185" s="96" customFormat="true" ht="13.5"/>
    <row r="5186" s="96" customFormat="true" ht="13.5"/>
    <row r="5187" s="96" customFormat="true" ht="13.5"/>
    <row r="5188" s="96" customFormat="true" ht="13.5"/>
    <row r="5189" s="96" customFormat="true" ht="13.5"/>
    <row r="5190" s="96" customFormat="true" ht="13.5"/>
    <row r="5191" s="96" customFormat="true" ht="13.5"/>
    <row r="5192" s="96" customFormat="true" ht="13.5"/>
    <row r="5193" s="96" customFormat="true" ht="13.5"/>
    <row r="5194" s="96" customFormat="true" ht="13.5"/>
    <row r="5195" s="96" customFormat="true" ht="13.5"/>
    <row r="5196" s="96" customFormat="true" ht="13.5"/>
    <row r="5197" s="96" customFormat="true" ht="13.5"/>
    <row r="5198" s="96" customFormat="true" ht="13.5"/>
    <row r="5199" s="96" customFormat="true" ht="13.5"/>
    <row r="5200" s="96" customFormat="true" ht="13.5"/>
    <row r="5201" s="96" customFormat="true" ht="13.5"/>
    <row r="5202" s="96" customFormat="true" ht="13.5"/>
    <row r="5203" s="96" customFormat="true" ht="13.5"/>
    <row r="5204" s="96" customFormat="true" ht="13.5"/>
    <row r="5205" s="96" customFormat="true" ht="13.5"/>
    <row r="5206" s="96" customFormat="true" ht="13.5"/>
    <row r="5207" s="96" customFormat="true" ht="13.5"/>
    <row r="5208" s="96" customFormat="true" ht="13.5"/>
    <row r="5209" s="96" customFormat="true" ht="13.5"/>
    <row r="5210" s="96" customFormat="true" ht="13.5"/>
    <row r="5211" s="96" customFormat="true" ht="13.5"/>
    <row r="5212" s="96" customFormat="true" ht="13.5"/>
    <row r="5213" s="96" customFormat="true" ht="13.5"/>
    <row r="5214" s="96" customFormat="true" ht="13.5"/>
    <row r="5215" s="96" customFormat="true" ht="13.5"/>
    <row r="5216" s="96" customFormat="true" ht="13.5"/>
    <row r="5217" s="96" customFormat="true" ht="13.5"/>
    <row r="5218" s="96" customFormat="true" ht="13.5"/>
    <row r="5219" s="96" customFormat="true" ht="13.5"/>
    <row r="5220" s="96" customFormat="true" ht="13.5"/>
    <row r="5221" s="96" customFormat="true" ht="13.5"/>
    <row r="5222" s="96" customFormat="true" ht="13.5"/>
    <row r="5223" s="96" customFormat="true" ht="13.5"/>
    <row r="5224" s="96" customFormat="true" ht="13.5"/>
    <row r="5225" s="96" customFormat="true" ht="13.5"/>
    <row r="5226" s="96" customFormat="true" ht="13.5"/>
    <row r="5227" s="96" customFormat="true" ht="13.5"/>
    <row r="5228" s="96" customFormat="true" ht="13.5"/>
    <row r="5229" s="96" customFormat="true" ht="13.5"/>
    <row r="5230" s="96" customFormat="true" ht="13.5"/>
    <row r="5231" s="96" customFormat="true" ht="13.5"/>
    <row r="5232" s="96" customFormat="true" ht="13.5"/>
    <row r="5233" s="96" customFormat="true" ht="13.5"/>
    <row r="5234" s="96" customFormat="true" ht="13.5"/>
    <row r="5235" s="96" customFormat="true" ht="13.5"/>
    <row r="5236" s="96" customFormat="true" ht="13.5"/>
    <row r="5237" s="96" customFormat="true" ht="13.5"/>
    <row r="5238" s="96" customFormat="true" ht="13.5"/>
    <row r="5239" s="96" customFormat="true" ht="13.5"/>
    <row r="5240" s="96" customFormat="true" ht="13.5"/>
    <row r="5241" s="96" customFormat="true" ht="13.5"/>
    <row r="5242" s="96" customFormat="true" ht="13.5"/>
    <row r="5243" s="96" customFormat="true" ht="13.5"/>
    <row r="5244" s="96" customFormat="true" ht="13.5"/>
    <row r="5245" s="96" customFormat="true" ht="13.5"/>
    <row r="5246" s="96" customFormat="true" ht="13.5"/>
    <row r="5247" s="96" customFormat="true" ht="13.5"/>
    <row r="5248" s="96" customFormat="true" ht="13.5"/>
    <row r="5249" s="96" customFormat="true" ht="13.5"/>
    <row r="5250" s="96" customFormat="true" ht="13.5"/>
    <row r="5251" s="96" customFormat="true" ht="13.5"/>
    <row r="5252" s="96" customFormat="true" ht="13.5"/>
    <row r="5253" s="96" customFormat="true" ht="13.5"/>
    <row r="5254" s="96" customFormat="true" ht="13.5"/>
    <row r="5255" s="96" customFormat="true" ht="13.5"/>
    <row r="5256" s="96" customFormat="true" ht="13.5"/>
    <row r="5257" s="96" customFormat="true" ht="13.5"/>
    <row r="5258" s="96" customFormat="true" ht="13.5"/>
    <row r="5259" s="96" customFormat="true" ht="13.5"/>
    <row r="5260" s="96" customFormat="true" ht="13.5"/>
    <row r="5261" s="96" customFormat="true" ht="13.5"/>
    <row r="5262" s="96" customFormat="true" ht="13.5"/>
    <row r="5263" s="96" customFormat="true" ht="13.5"/>
    <row r="5264" s="96" customFormat="true" ht="13.5"/>
    <row r="5265" s="96" customFormat="true" ht="13.5"/>
    <row r="5266" s="96" customFormat="true" ht="13.5"/>
    <row r="5267" s="96" customFormat="true" ht="13.5"/>
    <row r="5268" s="96" customFormat="true" ht="13.5"/>
    <row r="5269" s="96" customFormat="true" ht="13.5"/>
    <row r="5270" s="96" customFormat="true" ht="13.5"/>
    <row r="5271" s="96" customFormat="true" ht="13.5"/>
    <row r="5272" s="96" customFormat="true" ht="13.5"/>
    <row r="5273" s="96" customFormat="true" ht="13.5"/>
    <row r="5274" s="96" customFormat="true" ht="13.5"/>
    <row r="5275" s="96" customFormat="true" ht="13.5"/>
    <row r="5276" s="96" customFormat="true" ht="13.5"/>
    <row r="5277" s="96" customFormat="true" ht="13.5"/>
    <row r="5278" s="96" customFormat="true" ht="13.5"/>
    <row r="5279" s="96" customFormat="true" ht="13.5"/>
    <row r="5280" s="96" customFormat="true" ht="13.5"/>
    <row r="5281" s="96" customFormat="true" ht="13.5"/>
    <row r="5282" s="96" customFormat="true" ht="13.5"/>
    <row r="5283" s="96" customFormat="true" ht="13.5"/>
    <row r="5284" s="96" customFormat="true" ht="13.5"/>
    <row r="5285" s="96" customFormat="true" ht="13.5"/>
    <row r="5286" s="96" customFormat="true" ht="13.5"/>
    <row r="5287" s="96" customFormat="true" ht="13.5"/>
    <row r="5288" s="96" customFormat="true" ht="13.5"/>
    <row r="5289" s="96" customFormat="true" ht="13.5"/>
    <row r="5290" s="96" customFormat="true" ht="13.5"/>
    <row r="5291" s="96" customFormat="true" ht="13.5"/>
    <row r="5292" s="96" customFormat="true" ht="13.5"/>
    <row r="5293" s="96" customFormat="true" ht="13.5"/>
    <row r="5294" s="96" customFormat="true" ht="13.5"/>
    <row r="5295" s="96" customFormat="true" ht="13.5"/>
    <row r="5296" s="96" customFormat="true" ht="13.5"/>
    <row r="5297" s="96" customFormat="true" ht="13.5"/>
    <row r="5298" s="96" customFormat="true" ht="13.5"/>
    <row r="5299" s="96" customFormat="true" ht="13.5"/>
    <row r="5300" s="96" customFormat="true" ht="13.5"/>
    <row r="5301" s="96" customFormat="true" ht="13.5"/>
    <row r="5302" s="96" customFormat="true" ht="13.5"/>
    <row r="5303" s="96" customFormat="true" ht="13.5"/>
    <row r="5304" s="96" customFormat="true" ht="13.5"/>
    <row r="5305" s="96" customFormat="true" ht="13.5"/>
    <row r="5306" s="96" customFormat="true" ht="13.5"/>
    <row r="5307" s="96" customFormat="true" ht="13.5"/>
    <row r="5308" s="96" customFormat="true" ht="13.5"/>
    <row r="5309" s="96" customFormat="true" ht="13.5"/>
    <row r="5310" s="96" customFormat="true" ht="13.5"/>
    <row r="5311" s="96" customFormat="true" ht="13.5"/>
    <row r="5312" s="96" customFormat="true" ht="13.5"/>
    <row r="5313" s="96" customFormat="true" ht="13.5"/>
    <row r="5314" s="96" customFormat="true" ht="13.5"/>
    <row r="5315" s="96" customFormat="true" ht="13.5"/>
    <row r="5316" s="96" customFormat="true" ht="13.5"/>
    <row r="5317" s="96" customFormat="true" ht="13.5"/>
    <row r="5318" s="96" customFormat="true" ht="13.5"/>
    <row r="5319" s="96" customFormat="true" ht="13.5"/>
    <row r="5320" s="96" customFormat="true" ht="13.5"/>
    <row r="5321" s="96" customFormat="true" ht="13.5"/>
    <row r="5322" s="96" customFormat="true" ht="13.5"/>
    <row r="5323" s="96" customFormat="true" ht="13.5"/>
    <row r="5324" s="96" customFormat="true" ht="13.5"/>
    <row r="5325" s="96" customFormat="true" ht="13.5"/>
    <row r="5326" s="96" customFormat="true" ht="13.5"/>
    <row r="5327" s="96" customFormat="true" ht="13.5"/>
    <row r="5328" s="96" customFormat="true" ht="13.5"/>
    <row r="5329" s="96" customFormat="true" ht="13.5"/>
    <row r="5330" s="96" customFormat="true" ht="13.5"/>
    <row r="5331" s="96" customFormat="true" ht="13.5"/>
    <row r="5332" s="96" customFormat="true" ht="13.5"/>
    <row r="5333" s="96" customFormat="true" ht="13.5"/>
    <row r="5334" s="96" customFormat="true" ht="13.5"/>
    <row r="5335" s="96" customFormat="true" ht="13.5"/>
    <row r="5336" s="96" customFormat="true" ht="13.5"/>
    <row r="5337" s="96" customFormat="true" ht="13.5"/>
    <row r="5338" s="96" customFormat="true" ht="13.5"/>
    <row r="5339" s="96" customFormat="true" ht="13.5"/>
    <row r="5340" s="96" customFormat="true" ht="13.5"/>
    <row r="5341" s="96" customFormat="true" ht="13.5"/>
    <row r="5342" s="96" customFormat="true" ht="13.5"/>
    <row r="5343" s="96" customFormat="true" ht="13.5"/>
    <row r="5344" s="96" customFormat="true" ht="13.5"/>
    <row r="5345" s="96" customFormat="true" ht="13.5"/>
    <row r="5346" s="96" customFormat="true" ht="13.5"/>
    <row r="5347" s="96" customFormat="true" ht="13.5"/>
    <row r="5348" s="96" customFormat="true" ht="13.5"/>
    <row r="5349" s="96" customFormat="true" ht="13.5"/>
    <row r="5350" s="96" customFormat="true" ht="13.5"/>
    <row r="5351" s="96" customFormat="true" ht="13.5"/>
    <row r="5352" s="96" customFormat="true" ht="13.5"/>
    <row r="5353" s="96" customFormat="true" ht="13.5"/>
    <row r="5354" s="96" customFormat="true" ht="13.5"/>
    <row r="5355" s="96" customFormat="true" ht="13.5"/>
    <row r="5356" s="96" customFormat="true" ht="13.5"/>
    <row r="5357" s="96" customFormat="true" ht="13.5"/>
    <row r="5358" s="96" customFormat="true" ht="13.5"/>
    <row r="5359" s="96" customFormat="true" ht="13.5"/>
    <row r="5360" s="96" customFormat="true" ht="13.5"/>
    <row r="5361" s="96" customFormat="true" ht="13.5"/>
    <row r="5362" s="96" customFormat="true" ht="13.5"/>
    <row r="5363" s="96" customFormat="true" ht="13.5"/>
    <row r="5364" s="96" customFormat="true" ht="13.5"/>
    <row r="5365" s="96" customFormat="true" ht="13.5"/>
    <row r="5366" s="96" customFormat="true" ht="13.5"/>
    <row r="5367" s="96" customFormat="true" ht="13.5"/>
    <row r="5368" s="96" customFormat="true" ht="13.5"/>
    <row r="5369" s="96" customFormat="true" ht="13.5"/>
    <row r="5370" s="96" customFormat="true" ht="13.5"/>
    <row r="5371" s="96" customFormat="true" ht="13.5"/>
    <row r="5372" s="96" customFormat="true" ht="13.5"/>
    <row r="5373" s="96" customFormat="true" ht="13.5"/>
    <row r="5374" s="96" customFormat="true" ht="13.5"/>
    <row r="5375" s="96" customFormat="true" ht="13.5"/>
    <row r="5376" s="96" customFormat="true" ht="13.5"/>
    <row r="5377" s="96" customFormat="true" ht="13.5"/>
    <row r="5378" s="96" customFormat="true" ht="13.5"/>
    <row r="5379" s="96" customFormat="true" ht="13.5"/>
    <row r="5380" s="96" customFormat="true" ht="13.5"/>
    <row r="5381" s="96" customFormat="true" ht="13.5"/>
    <row r="5382" s="96" customFormat="true" ht="13.5"/>
    <row r="5383" s="96" customFormat="true" ht="13.5"/>
    <row r="5384" s="96" customFormat="true" ht="13.5"/>
    <row r="5385" s="96" customFormat="true" ht="13.5"/>
    <row r="5386" s="96" customFormat="true" ht="13.5"/>
    <row r="5387" s="96" customFormat="true" ht="13.5"/>
    <row r="5388" s="96" customFormat="true" ht="13.5"/>
    <row r="5389" s="96" customFormat="true" ht="13.5"/>
    <row r="5390" s="96" customFormat="true" ht="13.5"/>
    <row r="5391" s="96" customFormat="true" ht="13.5"/>
    <row r="5392" s="96" customFormat="true" ht="13.5"/>
    <row r="5393" s="96" customFormat="true" ht="13.5"/>
    <row r="5394" s="96" customFormat="true" ht="13.5"/>
    <row r="5395" s="96" customFormat="true" ht="13.5"/>
    <row r="5396" s="96" customFormat="true" ht="13.5"/>
    <row r="5397" s="96" customFormat="true" ht="13.5"/>
    <row r="5398" s="96" customFormat="true" ht="13.5"/>
    <row r="5399" s="96" customFormat="true" ht="13.5"/>
    <row r="5400" s="96" customFormat="true" ht="13.5"/>
    <row r="5401" s="96" customFormat="true" ht="13.5"/>
    <row r="5402" s="96" customFormat="true" ht="13.5"/>
    <row r="5403" s="96" customFormat="true" ht="13.5"/>
    <row r="5404" s="96" customFormat="true" ht="13.5"/>
    <row r="5405" s="96" customFormat="true" ht="13.5"/>
    <row r="5406" s="96" customFormat="true" ht="13.5"/>
    <row r="5407" s="96" customFormat="true" ht="13.5"/>
    <row r="5408" s="96" customFormat="true" ht="13.5"/>
    <row r="5409" s="96" customFormat="true" ht="13.5"/>
    <row r="5410" s="96" customFormat="true" ht="13.5"/>
    <row r="5411" s="96" customFormat="true" ht="13.5"/>
    <row r="5412" s="96" customFormat="true" ht="13.5"/>
    <row r="5413" s="96" customFormat="true" ht="13.5"/>
    <row r="5414" s="96" customFormat="true" ht="13.5"/>
    <row r="5415" s="96" customFormat="true" ht="13.5"/>
    <row r="5416" s="96" customFormat="true" ht="13.5"/>
    <row r="5417" s="96" customFormat="true" ht="13.5"/>
    <row r="5418" s="96" customFormat="true" ht="13.5"/>
    <row r="5419" s="96" customFormat="true" ht="13.5"/>
    <row r="5420" s="96" customFormat="true" ht="13.5"/>
    <row r="5421" s="96" customFormat="true" ht="13.5"/>
    <row r="5422" s="96" customFormat="true" ht="13.5"/>
    <row r="5423" s="96" customFormat="true" ht="13.5"/>
    <row r="5424" s="96" customFormat="true" ht="13.5"/>
    <row r="5425" s="96" customFormat="true" ht="13.5"/>
    <row r="5426" s="96" customFormat="true" ht="13.5"/>
    <row r="5427" s="96" customFormat="true" ht="13.5"/>
    <row r="5428" s="96" customFormat="true" ht="13.5"/>
    <row r="5429" s="96" customFormat="true" ht="13.5"/>
    <row r="5430" s="96" customFormat="true" ht="13.5"/>
    <row r="5431" s="96" customFormat="true" ht="13.5"/>
    <row r="5432" s="96" customFormat="true" ht="13.5"/>
    <row r="5433" s="96" customFormat="true" ht="13.5"/>
    <row r="5434" s="96" customFormat="true" ht="13.5"/>
    <row r="5435" s="96" customFormat="true" ht="13.5"/>
    <row r="5436" s="96" customFormat="true" ht="13.5"/>
    <row r="5437" s="96" customFormat="true" ht="13.5"/>
    <row r="5438" s="96" customFormat="true" ht="13.5"/>
    <row r="5439" s="96" customFormat="true" ht="13.5"/>
    <row r="5440" s="96" customFormat="true" ht="13.5"/>
    <row r="5441" s="96" customFormat="true" ht="13.5"/>
    <row r="5442" s="96" customFormat="true" ht="13.5"/>
    <row r="5443" s="96" customFormat="true" ht="13.5"/>
    <row r="5444" s="96" customFormat="true" ht="13.5"/>
    <row r="5445" s="96" customFormat="true" ht="13.5"/>
    <row r="5446" s="96" customFormat="true" ht="13.5"/>
    <row r="5447" s="96" customFormat="true" ht="13.5"/>
    <row r="5448" s="96" customFormat="true" ht="13.5"/>
    <row r="5449" s="96" customFormat="true" ht="13.5"/>
    <row r="5450" s="96" customFormat="true" ht="13.5"/>
    <row r="5451" s="96" customFormat="true" ht="13.5"/>
    <row r="5452" s="96" customFormat="true" ht="13.5"/>
    <row r="5453" s="96" customFormat="true" ht="13.5"/>
    <row r="5454" s="96" customFormat="true" ht="13.5"/>
    <row r="5455" s="96" customFormat="true" ht="13.5"/>
    <row r="5456" s="96" customFormat="true" ht="13.5"/>
    <row r="5457" s="96" customFormat="true" ht="13.5"/>
    <row r="5458" s="96" customFormat="true" ht="13.5"/>
    <row r="5459" s="96" customFormat="true" ht="13.5"/>
    <row r="5460" s="96" customFormat="true" ht="13.5"/>
    <row r="5461" s="96" customFormat="true" ht="13.5"/>
    <row r="5462" s="96" customFormat="true" ht="13.5"/>
    <row r="5463" s="96" customFormat="true" ht="13.5"/>
    <row r="5464" s="96" customFormat="true" ht="13.5"/>
    <row r="5465" s="96" customFormat="true" ht="13.5"/>
    <row r="5466" s="96" customFormat="true" ht="13.5"/>
    <row r="5467" s="96" customFormat="true" ht="13.5"/>
    <row r="5468" s="96" customFormat="true" ht="13.5"/>
    <row r="5469" s="96" customFormat="true" ht="13.5"/>
    <row r="5470" s="96" customFormat="true" ht="13.5"/>
    <row r="5471" s="96" customFormat="true" ht="13.5"/>
    <row r="5472" s="96" customFormat="true" ht="13.5"/>
    <row r="5473" s="96" customFormat="true" ht="13.5"/>
    <row r="5474" s="96" customFormat="true" ht="13.5"/>
    <row r="5475" s="96" customFormat="true" ht="13.5"/>
    <row r="5476" s="96" customFormat="true" ht="13.5"/>
    <row r="5477" s="96" customFormat="true" ht="13.5"/>
    <row r="5478" s="96" customFormat="true" ht="13.5"/>
    <row r="5479" s="96" customFormat="true" ht="13.5"/>
    <row r="5480" s="96" customFormat="true" ht="13.5"/>
    <row r="5481" s="96" customFormat="true" ht="13.5"/>
    <row r="5482" s="96" customFormat="true" ht="13.5"/>
    <row r="5483" s="96" customFormat="true" ht="13.5"/>
    <row r="5484" s="96" customFormat="true" ht="13.5"/>
    <row r="5485" s="96" customFormat="true" ht="13.5"/>
    <row r="5486" s="96" customFormat="true" ht="13.5"/>
    <row r="5487" s="96" customFormat="true" ht="13.5"/>
    <row r="5488" s="96" customFormat="true" ht="13.5"/>
    <row r="5489" s="96" customFormat="true" ht="13.5"/>
    <row r="5490" s="96" customFormat="true" ht="13.5"/>
    <row r="5491" s="96" customFormat="true" ht="13.5"/>
    <row r="5492" s="96" customFormat="true" ht="13.5"/>
    <row r="5493" s="96" customFormat="true" ht="13.5"/>
    <row r="5494" s="96" customFormat="true" ht="13.5"/>
    <row r="5495" s="96" customFormat="true" ht="13.5"/>
    <row r="5496" s="96" customFormat="true" ht="13.5"/>
    <row r="5497" s="96" customFormat="true" ht="13.5"/>
    <row r="5498" s="96" customFormat="true" ht="13.5"/>
    <row r="5499" s="96" customFormat="true" ht="13.5"/>
    <row r="5500" s="96" customFormat="true" ht="13.5"/>
    <row r="5501" s="96" customFormat="true" ht="13.5"/>
    <row r="5502" s="96" customFormat="true" ht="13.5"/>
    <row r="5503" s="96" customFormat="true" ht="13.5"/>
    <row r="5504" s="96" customFormat="true" ht="13.5"/>
    <row r="5505" s="96" customFormat="true" ht="13.5"/>
    <row r="5506" s="96" customFormat="true" ht="13.5"/>
    <row r="5507" s="96" customFormat="true" ht="13.5"/>
    <row r="5508" s="96" customFormat="true" ht="13.5"/>
    <row r="5509" s="96" customFormat="true" ht="13.5"/>
    <row r="5510" s="96" customFormat="true" ht="13.5"/>
    <row r="5511" s="96" customFormat="true" ht="13.5"/>
    <row r="5512" s="96" customFormat="true" ht="13.5"/>
    <row r="5513" s="96" customFormat="true" ht="13.5"/>
    <row r="5514" s="96" customFormat="true" ht="13.5"/>
    <row r="5515" s="96" customFormat="true" ht="13.5"/>
    <row r="5516" s="96" customFormat="true" ht="13.5"/>
    <row r="5517" s="96" customFormat="true" ht="13.5"/>
    <row r="5518" s="96" customFormat="true" ht="13.5"/>
    <row r="5519" s="96" customFormat="true" ht="13.5"/>
    <row r="5520" s="96" customFormat="true" ht="13.5"/>
    <row r="5521" s="96" customFormat="true" ht="13.5"/>
    <row r="5522" s="96" customFormat="true" ht="13.5"/>
    <row r="5523" s="96" customFormat="true" ht="13.5"/>
    <row r="5524" s="96" customFormat="true" ht="13.5"/>
    <row r="5525" s="96" customFormat="true" ht="13.5"/>
    <row r="5526" s="96" customFormat="true" ht="13.5"/>
    <row r="5527" s="96" customFormat="true" ht="13.5"/>
    <row r="5528" s="96" customFormat="true" ht="13.5"/>
    <row r="5529" s="96" customFormat="true" ht="13.5"/>
    <row r="5530" s="96" customFormat="true" ht="13.5"/>
    <row r="5531" s="96" customFormat="true" ht="13.5"/>
    <row r="5532" s="96" customFormat="true" ht="13.5"/>
    <row r="5533" s="96" customFormat="true" ht="13.5"/>
    <row r="5534" s="96" customFormat="true" ht="13.5"/>
    <row r="5535" s="96" customFormat="true" ht="13.5"/>
    <row r="5536" s="96" customFormat="true" ht="13.5"/>
    <row r="5537" s="96" customFormat="true" ht="13.5"/>
    <row r="5538" s="96" customFormat="true" ht="13.5"/>
    <row r="5539" s="96" customFormat="true" ht="13.5"/>
    <row r="5540" s="96" customFormat="true" ht="13.5"/>
    <row r="5541" s="96" customFormat="true" ht="13.5"/>
    <row r="5542" s="96" customFormat="true" ht="13.5"/>
    <row r="5543" s="96" customFormat="true" ht="13.5"/>
    <row r="5544" s="96" customFormat="true" ht="13.5"/>
    <row r="5545" s="96" customFormat="true" ht="13.5"/>
    <row r="5546" s="96" customFormat="true" ht="13.5"/>
    <row r="5547" s="96" customFormat="true" ht="13.5"/>
    <row r="5548" s="96" customFormat="true" ht="13.5"/>
    <row r="5549" s="96" customFormat="true" ht="13.5"/>
    <row r="5550" s="96" customFormat="true" ht="13.5"/>
    <row r="5551" s="96" customFormat="true" ht="13.5"/>
    <row r="5552" s="96" customFormat="true" ht="13.5"/>
    <row r="5553" s="96" customFormat="true" ht="13.5"/>
    <row r="5554" s="96" customFormat="true" ht="13.5"/>
    <row r="5555" s="96" customFormat="true" ht="13.5"/>
    <row r="5556" s="96" customFormat="true" ht="13.5"/>
    <row r="5557" s="96" customFormat="true" ht="13.5"/>
    <row r="5558" s="96" customFormat="true" ht="13.5"/>
    <row r="5559" s="96" customFormat="true" ht="13.5"/>
    <row r="5560" s="96" customFormat="true" ht="13.5"/>
    <row r="5561" s="96" customFormat="true" ht="13.5"/>
    <row r="5562" s="96" customFormat="true" ht="13.5"/>
    <row r="5563" s="96" customFormat="true" ht="13.5"/>
    <row r="5564" s="96" customFormat="true" ht="13.5"/>
    <row r="5565" s="96" customFormat="true" ht="13.5"/>
    <row r="5566" s="96" customFormat="true" ht="13.5"/>
    <row r="5567" s="96" customFormat="true" ht="13.5"/>
    <row r="5568" s="96" customFormat="true" ht="13.5"/>
    <row r="5569" s="96" customFormat="true" ht="13.5"/>
    <row r="5570" s="96" customFormat="true" ht="13.5"/>
    <row r="5571" s="96" customFormat="true" ht="13.5"/>
    <row r="5572" s="96" customFormat="true" ht="13.5"/>
    <row r="5573" s="96" customFormat="true" ht="13.5"/>
    <row r="5574" s="96" customFormat="true" ht="13.5"/>
    <row r="5575" s="96" customFormat="true" ht="13.5"/>
    <row r="5576" s="96" customFormat="true" ht="13.5"/>
    <row r="5577" s="96" customFormat="true" ht="13.5"/>
    <row r="5578" s="96" customFormat="true" ht="13.5"/>
    <row r="5579" s="96" customFormat="true" ht="13.5"/>
    <row r="5580" s="96" customFormat="true" ht="13.5"/>
    <row r="5581" s="96" customFormat="true" ht="13.5"/>
    <row r="5582" s="96" customFormat="true" ht="13.5"/>
    <row r="5583" s="96" customFormat="true" ht="13.5"/>
    <row r="5584" s="96" customFormat="true" ht="13.5"/>
    <row r="5585" s="96" customFormat="true" ht="13.5"/>
    <row r="5586" s="96" customFormat="true" ht="13.5"/>
    <row r="5587" s="96" customFormat="true" ht="13.5"/>
    <row r="5588" s="96" customFormat="true" ht="13.5"/>
    <row r="5589" s="96" customFormat="true" ht="13.5"/>
    <row r="5590" s="96" customFormat="true" ht="13.5"/>
    <row r="5591" s="96" customFormat="true" ht="13.5"/>
    <row r="5592" s="96" customFormat="true" ht="13.5"/>
    <row r="5593" s="96" customFormat="true" ht="13.5"/>
    <row r="5594" s="96" customFormat="true" ht="13.5"/>
    <row r="5595" s="96" customFormat="true" ht="13.5"/>
    <row r="5596" s="96" customFormat="true" ht="13.5"/>
    <row r="5597" s="96" customFormat="true" ht="13.5"/>
    <row r="5598" s="96" customFormat="true" ht="13.5"/>
    <row r="5599" s="96" customFormat="true" ht="13.5"/>
    <row r="5600" s="96" customFormat="true" ht="13.5"/>
    <row r="5601" s="96" customFormat="true" ht="13.5"/>
    <row r="5602" s="96" customFormat="true" ht="13.5"/>
    <row r="5603" s="96" customFormat="true" ht="13.5"/>
    <row r="5604" s="96" customFormat="true" ht="13.5"/>
    <row r="5605" s="96" customFormat="true" ht="13.5"/>
    <row r="5606" s="96" customFormat="true" ht="13.5"/>
    <row r="5607" s="96" customFormat="true" ht="13.5"/>
    <row r="5608" s="96" customFormat="true" ht="13.5"/>
    <row r="5609" s="96" customFormat="true" ht="13.5"/>
    <row r="5610" s="96" customFormat="true" ht="13.5"/>
    <row r="5611" s="96" customFormat="true" ht="13.5"/>
    <row r="5612" s="96" customFormat="true" ht="13.5"/>
    <row r="5613" s="96" customFormat="true" ht="13.5"/>
    <row r="5614" s="96" customFormat="true" ht="13.5"/>
    <row r="5615" s="96" customFormat="true" ht="13.5"/>
    <row r="5616" s="96" customFormat="true" ht="13.5"/>
    <row r="5617" s="96" customFormat="true" ht="13.5"/>
    <row r="5618" s="96" customFormat="true" ht="13.5"/>
    <row r="5619" s="96" customFormat="true" ht="13.5"/>
    <row r="5620" s="96" customFormat="true" ht="13.5"/>
    <row r="5621" s="96" customFormat="true" ht="13.5"/>
    <row r="5622" s="96" customFormat="true" ht="13.5"/>
    <row r="5623" s="96" customFormat="true" ht="13.5"/>
    <row r="5624" s="96" customFormat="true" ht="13.5"/>
    <row r="5625" s="96" customFormat="true" ht="13.5"/>
    <row r="5626" s="96" customFormat="true" ht="13.5"/>
    <row r="5627" s="96" customFormat="true" ht="13.5"/>
    <row r="5628" s="96" customFormat="true" ht="13.5"/>
    <row r="5629" s="96" customFormat="true" ht="13.5"/>
    <row r="5630" s="96" customFormat="true" ht="13.5"/>
    <row r="5631" s="96" customFormat="true" ht="13.5"/>
    <row r="5632" s="96" customFormat="true" ht="13.5"/>
    <row r="5633" s="96" customFormat="true" ht="13.5"/>
    <row r="5634" s="96" customFormat="true" ht="13.5"/>
    <row r="5635" s="96" customFormat="true" ht="13.5"/>
    <row r="5636" s="96" customFormat="true" ht="13.5"/>
    <row r="5637" s="96" customFormat="true" ht="13.5"/>
    <row r="5638" s="96" customFormat="true" ht="13.5"/>
    <row r="5639" s="96" customFormat="true" ht="13.5"/>
    <row r="5640" s="96" customFormat="true" ht="13.5"/>
    <row r="5641" s="96" customFormat="true" ht="13.5"/>
    <row r="5642" s="96" customFormat="true" ht="13.5"/>
    <row r="5643" s="96" customFormat="true" ht="13.5"/>
    <row r="5644" s="96" customFormat="true" ht="13.5"/>
    <row r="5645" s="96" customFormat="true" ht="13.5"/>
    <row r="5646" s="96" customFormat="true" ht="13.5"/>
    <row r="5647" s="96" customFormat="true" ht="13.5"/>
    <row r="5648" s="96" customFormat="true" ht="13.5"/>
    <row r="5649" s="96" customFormat="true" ht="13.5"/>
    <row r="5650" s="96" customFormat="true" ht="13.5"/>
    <row r="5651" s="96" customFormat="true" ht="13.5"/>
    <row r="5652" s="96" customFormat="true" ht="13.5"/>
    <row r="5653" s="96" customFormat="true" ht="13.5"/>
    <row r="5654" s="96" customFormat="true" ht="13.5"/>
    <row r="5655" s="96" customFormat="true" ht="13.5"/>
    <row r="5656" s="96" customFormat="true" ht="13.5"/>
    <row r="5657" s="96" customFormat="true" ht="13.5"/>
    <row r="5658" s="96" customFormat="true" ht="13.5"/>
    <row r="5659" s="96" customFormat="true" ht="13.5"/>
    <row r="5660" s="96" customFormat="true" ht="13.5"/>
    <row r="5661" s="96" customFormat="true" ht="13.5"/>
    <row r="5662" s="96" customFormat="true" ht="13.5"/>
    <row r="5663" s="96" customFormat="true" ht="13.5"/>
    <row r="5664" s="96" customFormat="true" ht="13.5"/>
    <row r="5665" s="96" customFormat="true" ht="13.5"/>
    <row r="5666" s="96" customFormat="true" ht="13.5"/>
    <row r="5667" s="96" customFormat="true" ht="13.5"/>
    <row r="5668" s="96" customFormat="true" ht="13.5"/>
    <row r="5669" s="96" customFormat="true" ht="13.5"/>
    <row r="5670" s="96" customFormat="true" ht="13.5"/>
    <row r="5671" s="96" customFormat="true" ht="13.5"/>
    <row r="5672" s="96" customFormat="true" ht="13.5"/>
    <row r="5673" s="96" customFormat="true" ht="13.5"/>
    <row r="5674" s="96" customFormat="true" ht="13.5"/>
    <row r="5675" s="96" customFormat="true" ht="13.5"/>
    <row r="5676" s="96" customFormat="true" ht="13.5"/>
    <row r="5677" s="96" customFormat="true" ht="13.5"/>
    <row r="5678" s="96" customFormat="true" ht="13.5"/>
    <row r="5679" s="96" customFormat="true" ht="13.5"/>
    <row r="5680" s="96" customFormat="true" ht="13.5"/>
    <row r="5681" s="96" customFormat="true" ht="13.5"/>
    <row r="5682" s="96" customFormat="true" ht="13.5"/>
    <row r="5683" s="96" customFormat="true" ht="13.5"/>
    <row r="5684" s="96" customFormat="true" ht="13.5"/>
    <row r="5685" s="96" customFormat="true" ht="13.5"/>
    <row r="5686" s="96" customFormat="true" ht="13.5"/>
    <row r="5687" s="96" customFormat="true" ht="13.5"/>
    <row r="5688" s="96" customFormat="true" ht="13.5"/>
    <row r="5689" s="96" customFormat="true" ht="13.5"/>
    <row r="5690" s="96" customFormat="true" ht="13.5"/>
    <row r="5691" s="96" customFormat="true" ht="13.5"/>
    <row r="5692" s="96" customFormat="true" ht="13.5"/>
    <row r="5693" s="96" customFormat="true" ht="13.5"/>
    <row r="5694" s="96" customFormat="true" ht="13.5"/>
    <row r="5695" s="96" customFormat="true" ht="13.5"/>
    <row r="5696" s="96" customFormat="true" ht="13.5"/>
    <row r="5697" s="96" customFormat="true" ht="13.5"/>
    <row r="5698" s="96" customFormat="true" ht="13.5"/>
    <row r="5699" s="96" customFormat="true" ht="13.5"/>
    <row r="5700" s="96" customFormat="true" ht="13.5"/>
    <row r="5701" s="96" customFormat="true" ht="13.5"/>
    <row r="5702" s="96" customFormat="true" ht="13.5"/>
    <row r="5703" s="96" customFormat="true" ht="13.5"/>
    <row r="5704" s="96" customFormat="true" ht="13.5"/>
    <row r="5705" s="96" customFormat="true" ht="13.5"/>
    <row r="5706" s="96" customFormat="true" ht="13.5"/>
    <row r="5707" s="96" customFormat="true" ht="13.5"/>
    <row r="5708" s="96" customFormat="true" ht="13.5"/>
    <row r="5709" s="96" customFormat="true" ht="13.5"/>
    <row r="5710" s="96" customFormat="true" ht="13.5"/>
    <row r="5711" s="96" customFormat="true" ht="13.5"/>
    <row r="5712" s="96" customFormat="true" ht="13.5"/>
    <row r="5713" s="96" customFormat="true" ht="13.5"/>
    <row r="5714" s="96" customFormat="true" ht="13.5"/>
    <row r="5715" s="96" customFormat="true" ht="13.5"/>
    <row r="5716" s="96" customFormat="true" ht="13.5"/>
    <row r="5717" s="96" customFormat="true" ht="13.5"/>
    <row r="5718" s="96" customFormat="true" ht="13.5"/>
    <row r="5719" s="96" customFormat="true" ht="13.5"/>
    <row r="5720" s="96" customFormat="true" ht="13.5"/>
    <row r="5721" s="96" customFormat="true" ht="13.5"/>
    <row r="5722" s="96" customFormat="true" ht="13.5"/>
    <row r="5723" s="96" customFormat="true" ht="13.5"/>
    <row r="5724" s="96" customFormat="true" ht="13.5"/>
    <row r="5725" s="96" customFormat="true" ht="13.5"/>
    <row r="5726" s="96" customFormat="true" ht="13.5"/>
    <row r="5727" s="96" customFormat="true" ht="13.5"/>
    <row r="5728" s="96" customFormat="true" ht="13.5"/>
    <row r="5729" s="96" customFormat="true" ht="13.5"/>
    <row r="5730" s="96" customFormat="true" ht="13.5"/>
    <row r="5731" s="96" customFormat="true" ht="13.5"/>
    <row r="5732" s="96" customFormat="true" ht="13.5"/>
    <row r="5733" s="96" customFormat="true" ht="13.5"/>
    <row r="5734" s="96" customFormat="true" ht="13.5"/>
    <row r="5735" s="96" customFormat="true" ht="13.5"/>
    <row r="5736" s="96" customFormat="true" ht="13.5"/>
    <row r="5737" s="96" customFormat="true" ht="13.5"/>
    <row r="5738" s="96" customFormat="true" ht="13.5"/>
    <row r="5739" s="96" customFormat="true" ht="13.5"/>
    <row r="5740" s="96" customFormat="true" ht="13.5"/>
    <row r="5741" s="96" customFormat="true" ht="13.5"/>
    <row r="5742" s="96" customFormat="true" ht="13.5"/>
    <row r="5743" s="96" customFormat="true" ht="13.5"/>
    <row r="5744" s="96" customFormat="true" ht="13.5"/>
    <row r="5745" s="96" customFormat="true" ht="13.5"/>
    <row r="5746" s="96" customFormat="true" ht="13.5"/>
    <row r="5747" s="96" customFormat="true" ht="13.5"/>
    <row r="5748" s="96" customFormat="true" ht="13.5"/>
    <row r="5749" s="96" customFormat="true" ht="13.5"/>
    <row r="5750" s="96" customFormat="true" ht="13.5"/>
    <row r="5751" s="96" customFormat="true" ht="13.5"/>
    <row r="5752" s="96" customFormat="true" ht="13.5"/>
    <row r="5753" s="96" customFormat="true" ht="13.5"/>
    <row r="5754" s="96" customFormat="true" ht="13.5"/>
    <row r="5755" s="96" customFormat="true" ht="13.5"/>
    <row r="5756" s="96" customFormat="true" ht="13.5"/>
    <row r="5757" s="96" customFormat="true" ht="13.5"/>
    <row r="5758" s="96" customFormat="true" ht="13.5"/>
    <row r="5759" s="96" customFormat="true" ht="13.5"/>
    <row r="5760" s="96" customFormat="true" ht="13.5"/>
    <row r="5761" s="96" customFormat="true" ht="13.5"/>
    <row r="5762" s="96" customFormat="true" ht="13.5"/>
    <row r="5763" s="96" customFormat="true" ht="13.5"/>
    <row r="5764" s="96" customFormat="true" ht="13.5"/>
    <row r="5765" s="96" customFormat="true" ht="13.5"/>
    <row r="5766" s="96" customFormat="true" ht="13.5"/>
    <row r="5767" s="96" customFormat="true" ht="13.5"/>
    <row r="5768" s="96" customFormat="true" ht="13.5"/>
    <row r="5769" s="96" customFormat="true" ht="13.5"/>
    <row r="5770" s="96" customFormat="true" ht="13.5"/>
    <row r="5771" s="96" customFormat="true" ht="13.5"/>
    <row r="5772" s="96" customFormat="true" ht="13.5"/>
    <row r="5773" s="96" customFormat="true" ht="13.5"/>
    <row r="5774" s="96" customFormat="true" ht="13.5"/>
    <row r="5775" s="96" customFormat="true" ht="13.5"/>
    <row r="5776" s="96" customFormat="true" ht="13.5"/>
    <row r="5777" s="96" customFormat="true" ht="13.5"/>
    <row r="5778" s="96" customFormat="true" ht="13.5"/>
    <row r="5779" s="96" customFormat="true" ht="13.5"/>
    <row r="5780" s="96" customFormat="true" ht="13.5"/>
    <row r="5781" s="96" customFormat="true" ht="13.5"/>
    <row r="5782" s="96" customFormat="true" ht="13.5"/>
    <row r="5783" s="96" customFormat="true" ht="13.5"/>
    <row r="5784" s="96" customFormat="true" ht="13.5"/>
    <row r="5785" s="96" customFormat="true" ht="13.5"/>
    <row r="5786" s="96" customFormat="true" ht="13.5"/>
    <row r="5787" s="96" customFormat="true" ht="13.5"/>
    <row r="5788" s="96" customFormat="true" ht="13.5"/>
    <row r="5789" s="96" customFormat="true" ht="13.5"/>
    <row r="5790" s="96" customFormat="true" ht="13.5"/>
    <row r="5791" s="96" customFormat="true" ht="13.5"/>
    <row r="5792" s="96" customFormat="true" ht="13.5"/>
    <row r="5793" s="96" customFormat="true" ht="13.5"/>
    <row r="5794" s="96" customFormat="true" ht="13.5"/>
    <row r="5795" s="96" customFormat="true" ht="13.5"/>
    <row r="5796" s="96" customFormat="true" ht="13.5"/>
    <row r="5797" s="96" customFormat="true" ht="13.5"/>
    <row r="5798" s="96" customFormat="true" ht="13.5"/>
    <row r="5799" s="96" customFormat="true" ht="13.5"/>
    <row r="5800" s="96" customFormat="true" ht="13.5"/>
    <row r="5801" s="96" customFormat="true" ht="13.5"/>
    <row r="5802" s="96" customFormat="true" ht="13.5"/>
    <row r="5803" s="96" customFormat="true" ht="13.5"/>
    <row r="5804" s="96" customFormat="true" ht="13.5"/>
    <row r="5805" s="96" customFormat="true" ht="13.5"/>
    <row r="5806" s="96" customFormat="true" ht="13.5"/>
    <row r="5807" s="96" customFormat="true" ht="13.5"/>
    <row r="5808" s="96" customFormat="true" ht="13.5"/>
    <row r="5809" s="96" customFormat="true" ht="13.5"/>
    <row r="5810" s="96" customFormat="true" ht="13.5"/>
    <row r="5811" s="96" customFormat="true" ht="13.5"/>
    <row r="5812" s="96" customFormat="true" ht="13.5"/>
    <row r="5813" s="96" customFormat="true" ht="13.5"/>
    <row r="5814" s="96" customFormat="true" ht="13.5"/>
    <row r="5815" s="96" customFormat="true" ht="13.5"/>
    <row r="5816" s="96" customFormat="true" ht="13.5"/>
    <row r="5817" s="96" customFormat="true" ht="13.5"/>
    <row r="5818" s="96" customFormat="true" ht="13.5"/>
    <row r="5819" s="96" customFormat="true" ht="13.5"/>
    <row r="5820" s="96" customFormat="true" ht="13.5"/>
    <row r="5821" s="96" customFormat="true" ht="13.5"/>
    <row r="5822" s="96" customFormat="true" ht="13.5"/>
    <row r="5823" s="96" customFormat="true" ht="13.5"/>
    <row r="5824" s="96" customFormat="true" ht="13.5"/>
    <row r="5825" s="96" customFormat="true" ht="13.5"/>
    <row r="5826" s="96" customFormat="true" ht="13.5"/>
    <row r="5827" s="96" customFormat="true" ht="13.5"/>
    <row r="5828" s="96" customFormat="true" ht="13.5"/>
    <row r="5829" s="96" customFormat="true" ht="13.5"/>
    <row r="5830" s="96" customFormat="true" ht="13.5"/>
    <row r="5831" s="96" customFormat="true" ht="13.5"/>
    <row r="5832" s="96" customFormat="true" ht="13.5"/>
    <row r="5833" s="96" customFormat="true" ht="13.5"/>
    <row r="5834" s="96" customFormat="true" ht="13.5"/>
    <row r="5835" s="96" customFormat="true" ht="13.5"/>
    <row r="5836" s="96" customFormat="true" ht="13.5"/>
    <row r="5837" s="96" customFormat="true" ht="13.5"/>
    <row r="5838" s="96" customFormat="true" ht="13.5"/>
    <row r="5839" s="96" customFormat="true" ht="13.5"/>
    <row r="5840" s="96" customFormat="true" ht="13.5"/>
    <row r="5841" s="96" customFormat="true" ht="13.5"/>
    <row r="5842" s="96" customFormat="true" ht="13.5"/>
    <row r="5843" s="96" customFormat="true" ht="13.5"/>
    <row r="5844" s="96" customFormat="true" ht="13.5"/>
    <row r="5845" s="96" customFormat="true" ht="13.5"/>
    <row r="5846" s="96" customFormat="true" ht="13.5"/>
    <row r="5847" s="96" customFormat="true" ht="13.5"/>
    <row r="5848" s="96" customFormat="true" ht="13.5"/>
    <row r="5849" s="96" customFormat="true" ht="13.5"/>
    <row r="5850" s="96" customFormat="true" ht="13.5"/>
    <row r="5851" s="96" customFormat="true" ht="13.5"/>
    <row r="5852" s="96" customFormat="true" ht="13.5"/>
    <row r="5853" s="96" customFormat="true" ht="13.5"/>
    <row r="5854" s="96" customFormat="true" ht="13.5"/>
    <row r="5855" s="96" customFormat="true" ht="13.5"/>
    <row r="5856" s="96" customFormat="true" ht="13.5"/>
    <row r="5857" s="96" customFormat="true" ht="13.5"/>
    <row r="5858" s="96" customFormat="true" ht="13.5"/>
    <row r="5859" s="96" customFormat="true" ht="13.5"/>
    <row r="5860" s="96" customFormat="true" ht="13.5"/>
    <row r="5861" s="96" customFormat="true" ht="13.5"/>
    <row r="5862" s="96" customFormat="true" ht="13.5"/>
    <row r="5863" s="96" customFormat="true" ht="13.5"/>
    <row r="5864" s="96" customFormat="true" ht="13.5"/>
    <row r="5865" s="96" customFormat="true" ht="13.5"/>
    <row r="5866" s="96" customFormat="true" ht="13.5"/>
    <row r="5867" s="96" customFormat="true" ht="13.5"/>
    <row r="5868" s="96" customFormat="true" ht="13.5"/>
    <row r="5869" s="96" customFormat="true" ht="13.5"/>
    <row r="5870" s="96" customFormat="true" ht="13.5"/>
    <row r="5871" s="96" customFormat="true" ht="13.5"/>
    <row r="5872" s="96" customFormat="true" ht="13.5"/>
    <row r="5873" s="96" customFormat="true" ht="13.5"/>
    <row r="5874" s="96" customFormat="true" ht="13.5"/>
    <row r="5875" s="96" customFormat="true" ht="13.5"/>
    <row r="5876" s="96" customFormat="true" ht="13.5"/>
    <row r="5877" s="96" customFormat="true" ht="13.5"/>
    <row r="5878" s="96" customFormat="true" ht="13.5"/>
    <row r="5879" s="96" customFormat="true" ht="13.5"/>
    <row r="5880" s="96" customFormat="true" ht="13.5"/>
    <row r="5881" s="96" customFormat="true" ht="13.5"/>
    <row r="5882" s="96" customFormat="true" ht="13.5"/>
    <row r="5883" s="96" customFormat="true" ht="13.5"/>
    <row r="5884" s="96" customFormat="true" ht="13.5"/>
    <row r="5885" s="96" customFormat="true" ht="13.5"/>
    <row r="5886" s="96" customFormat="true" ht="13.5"/>
    <row r="5887" s="96" customFormat="true" ht="13.5"/>
    <row r="5888" s="96" customFormat="true" ht="13.5"/>
    <row r="5889" s="96" customFormat="true" ht="13.5"/>
    <row r="5890" s="96" customFormat="true" ht="13.5"/>
    <row r="5891" s="96" customFormat="true" ht="13.5"/>
    <row r="5892" s="96" customFormat="true" ht="13.5"/>
    <row r="5893" s="96" customFormat="true" ht="13.5"/>
    <row r="5894" s="96" customFormat="true" ht="13.5"/>
    <row r="5895" s="96" customFormat="true" ht="13.5"/>
    <row r="5896" s="96" customFormat="true" ht="13.5"/>
    <row r="5897" s="96" customFormat="true" ht="13.5"/>
    <row r="5898" s="96" customFormat="true" ht="13.5"/>
    <row r="5899" s="96" customFormat="true" ht="13.5"/>
    <row r="5900" s="96" customFormat="true" ht="13.5"/>
    <row r="5901" s="96" customFormat="true" ht="13.5"/>
    <row r="5902" s="96" customFormat="true" ht="13.5"/>
    <row r="5903" s="96" customFormat="true" ht="13.5"/>
    <row r="5904" s="96" customFormat="true" ht="13.5"/>
    <row r="5905" s="96" customFormat="true" ht="13.5"/>
    <row r="5906" s="96" customFormat="true" ht="13.5"/>
    <row r="5907" s="96" customFormat="true" ht="13.5"/>
    <row r="5908" s="96" customFormat="true" ht="13.5"/>
    <row r="5909" s="96" customFormat="true" ht="13.5"/>
    <row r="5910" s="96" customFormat="true" ht="13.5"/>
    <row r="5911" s="96" customFormat="true" ht="13.5"/>
    <row r="5912" s="96" customFormat="true" ht="13.5"/>
    <row r="5913" s="96" customFormat="true" ht="13.5"/>
    <row r="5914" s="96" customFormat="true" ht="13.5"/>
    <row r="5915" s="96" customFormat="true" ht="13.5"/>
    <row r="5916" s="96" customFormat="true" ht="13.5"/>
    <row r="5917" s="96" customFormat="true" ht="13.5"/>
    <row r="5918" s="96" customFormat="true" ht="13.5"/>
    <row r="5919" s="96" customFormat="true" ht="13.5"/>
    <row r="5920" s="96" customFormat="true" ht="13.5"/>
    <row r="5921" s="96" customFormat="true" ht="13.5"/>
    <row r="5922" s="96" customFormat="true" ht="13.5"/>
    <row r="5923" s="96" customFormat="true" ht="13.5"/>
    <row r="5924" s="96" customFormat="true" ht="13.5"/>
    <row r="5925" s="96" customFormat="true" ht="13.5"/>
    <row r="5926" s="96" customFormat="true" ht="13.5"/>
    <row r="5927" s="96" customFormat="true" ht="13.5"/>
    <row r="5928" s="96" customFormat="true" ht="13.5"/>
    <row r="5929" s="96" customFormat="true" ht="13.5"/>
    <row r="5930" s="96" customFormat="true" ht="13.5"/>
    <row r="5931" s="96" customFormat="true" ht="13.5"/>
    <row r="5932" s="96" customFormat="true" ht="13.5"/>
    <row r="5933" s="96" customFormat="true" ht="13.5"/>
    <row r="5934" s="96" customFormat="true" ht="13.5"/>
    <row r="5935" s="96" customFormat="true" ht="13.5"/>
    <row r="5936" s="96" customFormat="true" ht="13.5"/>
    <row r="5937" s="96" customFormat="true" ht="13.5"/>
    <row r="5938" s="96" customFormat="true" ht="13.5"/>
    <row r="5939" s="96" customFormat="true" ht="13.5"/>
    <row r="5940" s="96" customFormat="true" ht="13.5"/>
    <row r="5941" s="96" customFormat="true" ht="13.5"/>
    <row r="5942" s="96" customFormat="true" ht="13.5"/>
    <row r="5943" s="96" customFormat="true" ht="13.5"/>
    <row r="5944" s="96" customFormat="true" ht="13.5"/>
    <row r="5945" s="96" customFormat="true" ht="13.5"/>
    <row r="5946" s="96" customFormat="true" ht="13.5"/>
    <row r="5947" s="96" customFormat="true" ht="13.5"/>
    <row r="5948" s="96" customFormat="true" ht="13.5"/>
    <row r="5949" s="96" customFormat="true" ht="13.5"/>
    <row r="5950" s="96" customFormat="true" ht="13.5"/>
    <row r="5951" s="96" customFormat="true" ht="13.5"/>
    <row r="5952" s="96" customFormat="true" ht="13.5"/>
    <row r="5953" s="96" customFormat="true" ht="13.5"/>
    <row r="5954" s="96" customFormat="true" ht="13.5"/>
    <row r="5955" s="96" customFormat="true" ht="13.5"/>
    <row r="5956" s="96" customFormat="true" ht="13.5"/>
    <row r="5957" s="96" customFormat="true" ht="13.5"/>
    <row r="5958" s="96" customFormat="true" ht="13.5"/>
    <row r="5959" s="96" customFormat="true" ht="13.5"/>
    <row r="5960" s="96" customFormat="true" ht="13.5"/>
    <row r="5961" s="96" customFormat="true" ht="13.5"/>
    <row r="5962" s="96" customFormat="true" ht="13.5"/>
    <row r="5963" s="96" customFormat="true" ht="13.5"/>
    <row r="5964" s="96" customFormat="true" ht="13.5"/>
    <row r="5965" s="96" customFormat="true" ht="13.5"/>
    <row r="5966" s="96" customFormat="true" ht="13.5"/>
    <row r="5967" s="96" customFormat="true" ht="13.5"/>
    <row r="5968" s="96" customFormat="true" ht="13.5"/>
    <row r="5969" s="96" customFormat="true" ht="13.5"/>
    <row r="5970" s="96" customFormat="true" ht="13.5"/>
    <row r="5971" s="96" customFormat="true" ht="13.5"/>
    <row r="5972" s="96" customFormat="true" ht="13.5"/>
    <row r="5973" s="96" customFormat="true" ht="13.5"/>
    <row r="5974" s="96" customFormat="true" ht="13.5"/>
    <row r="5975" s="96" customFormat="true" ht="13.5"/>
    <row r="5976" s="96" customFormat="true" ht="13.5"/>
    <row r="5977" s="96" customFormat="true" ht="13.5"/>
    <row r="5978" s="96" customFormat="true" ht="13.5"/>
    <row r="5979" s="96" customFormat="true" ht="13.5"/>
    <row r="5980" s="96" customFormat="true" ht="13.5"/>
    <row r="5981" s="96" customFormat="true" ht="13.5"/>
    <row r="5982" s="96" customFormat="true" ht="13.5"/>
    <row r="5983" s="96" customFormat="true" ht="13.5"/>
    <row r="5984" s="96" customFormat="true" ht="13.5"/>
    <row r="5985" s="96" customFormat="true" ht="13.5"/>
    <row r="5986" s="96" customFormat="true" ht="13.5"/>
    <row r="5987" s="96" customFormat="true" ht="13.5"/>
    <row r="5988" s="96" customFormat="true" ht="13.5"/>
    <row r="5989" s="96" customFormat="true" ht="13.5"/>
    <row r="5990" s="96" customFormat="true" ht="13.5"/>
    <row r="5991" s="96" customFormat="true" ht="13.5"/>
    <row r="5992" s="96" customFormat="true" ht="13.5"/>
    <row r="5993" s="96" customFormat="true" ht="13.5"/>
    <row r="5994" s="96" customFormat="true" ht="13.5"/>
    <row r="5995" s="96" customFormat="true" ht="13.5"/>
    <row r="5996" s="96" customFormat="true" ht="13.5"/>
    <row r="5997" s="96" customFormat="true" ht="13.5"/>
    <row r="5998" s="96" customFormat="true" ht="13.5"/>
    <row r="5999" s="96" customFormat="true" ht="13.5"/>
    <row r="6000" s="96" customFormat="true" ht="13.5"/>
    <row r="6001" s="96" customFormat="true" ht="13.5"/>
    <row r="6002" s="96" customFormat="true" ht="13.5"/>
    <row r="6003" s="96" customFormat="true" ht="13.5"/>
    <row r="6004" s="96" customFormat="true" ht="13.5"/>
    <row r="6005" s="96" customFormat="true" ht="13.5"/>
    <row r="6006" s="96" customFormat="true" ht="13.5"/>
    <row r="6007" s="96" customFormat="true" ht="13.5"/>
    <row r="6008" s="96" customFormat="true" ht="13.5"/>
    <row r="6009" s="96" customFormat="true" ht="13.5"/>
    <row r="6010" s="96" customFormat="true" ht="13.5"/>
    <row r="6011" s="96" customFormat="true" ht="13.5"/>
    <row r="6012" s="96" customFormat="true" ht="13.5"/>
    <row r="6013" s="96" customFormat="true" ht="13.5"/>
    <row r="6014" s="96" customFormat="true" ht="13.5"/>
    <row r="6015" s="96" customFormat="true" ht="13.5"/>
    <row r="6016" s="96" customFormat="true" ht="13.5"/>
    <row r="6017" s="96" customFormat="true" ht="13.5"/>
    <row r="6018" s="96" customFormat="true" ht="13.5"/>
    <row r="6019" s="96" customFormat="true" ht="13.5"/>
    <row r="6020" s="96" customFormat="true" ht="13.5"/>
    <row r="6021" s="96" customFormat="true" ht="13.5"/>
    <row r="6022" s="96" customFormat="true" ht="13.5"/>
    <row r="6023" s="96" customFormat="true" ht="13.5"/>
    <row r="6024" s="96" customFormat="true" ht="13.5"/>
    <row r="6025" s="96" customFormat="true" ht="13.5"/>
    <row r="6026" s="96" customFormat="true" ht="13.5"/>
    <row r="6027" s="96" customFormat="true" ht="13.5"/>
    <row r="6028" s="96" customFormat="true" ht="13.5"/>
    <row r="6029" s="96" customFormat="true" ht="13.5"/>
    <row r="6030" s="96" customFormat="true" ht="13.5"/>
    <row r="6031" s="96" customFormat="true" ht="13.5"/>
    <row r="6032" s="96" customFormat="true" ht="13.5"/>
    <row r="6033" s="96" customFormat="true" ht="13.5"/>
    <row r="6034" s="96" customFormat="true" ht="13.5"/>
    <row r="6035" s="96" customFormat="true" ht="13.5"/>
    <row r="6036" s="96" customFormat="true" ht="13.5"/>
    <row r="6037" s="96" customFormat="true" ht="13.5"/>
    <row r="6038" s="96" customFormat="true" ht="13.5"/>
    <row r="6039" s="96" customFormat="true" ht="13.5"/>
    <row r="6040" s="96" customFormat="true" ht="13.5"/>
    <row r="6041" s="96" customFormat="true" ht="13.5"/>
    <row r="6042" s="96" customFormat="true" ht="13.5"/>
    <row r="6043" s="96" customFormat="true" ht="13.5"/>
    <row r="6044" s="96" customFormat="true" ht="13.5"/>
    <row r="6045" s="96" customFormat="true" ht="13.5"/>
    <row r="6046" s="96" customFormat="true" ht="13.5"/>
    <row r="6047" s="96" customFormat="true" ht="13.5"/>
    <row r="6048" s="96" customFormat="true" ht="13.5"/>
    <row r="6049" s="96" customFormat="true" ht="13.5"/>
    <row r="6050" s="96" customFormat="true" ht="13.5"/>
    <row r="6051" s="96" customFormat="true" ht="13.5"/>
    <row r="6052" s="96" customFormat="true" ht="13.5"/>
    <row r="6053" s="96" customFormat="true" ht="13.5"/>
    <row r="6054" s="96" customFormat="true" ht="13.5"/>
    <row r="6055" s="96" customFormat="true" ht="13.5"/>
    <row r="6056" s="96" customFormat="true" ht="13.5"/>
    <row r="6057" s="96" customFormat="true" ht="13.5"/>
    <row r="6058" s="96" customFormat="true" ht="13.5"/>
    <row r="6059" s="96" customFormat="true" ht="13.5"/>
    <row r="6060" s="96" customFormat="true" ht="13.5"/>
    <row r="6061" s="96" customFormat="true" ht="13.5"/>
    <row r="6062" s="96" customFormat="true" ht="13.5"/>
    <row r="6063" s="96" customFormat="true" ht="13.5"/>
    <row r="6064" s="96" customFormat="true" ht="13.5"/>
    <row r="6065" s="96" customFormat="true" ht="13.5"/>
    <row r="6066" s="96" customFormat="true" ht="13.5"/>
    <row r="6067" s="96" customFormat="true" ht="13.5"/>
    <row r="6068" s="96" customFormat="true" ht="13.5"/>
    <row r="6069" s="96" customFormat="true" ht="13.5"/>
    <row r="6070" s="96" customFormat="true" ht="13.5"/>
    <row r="6071" s="96" customFormat="true" ht="13.5"/>
    <row r="6072" s="96" customFormat="true" ht="13.5"/>
    <row r="6073" s="96" customFormat="true" ht="13.5"/>
    <row r="6074" s="96" customFormat="true" ht="13.5"/>
    <row r="6075" s="96" customFormat="true" ht="13.5"/>
    <row r="6076" s="96" customFormat="true" ht="13.5"/>
    <row r="6077" s="96" customFormat="true" ht="13.5"/>
    <row r="6078" s="96" customFormat="true" ht="13.5"/>
    <row r="6079" s="96" customFormat="true" ht="13.5"/>
    <row r="6080" s="96" customFormat="true" ht="13.5"/>
    <row r="6081" s="96" customFormat="true" ht="13.5"/>
    <row r="6082" s="96" customFormat="true" ht="13.5"/>
    <row r="6083" s="96" customFormat="true" ht="13.5"/>
    <row r="6084" s="96" customFormat="true" ht="13.5"/>
    <row r="6085" s="96" customFormat="true" ht="13.5"/>
    <row r="6086" s="96" customFormat="true" ht="13.5"/>
    <row r="6087" s="96" customFormat="true" ht="13.5"/>
    <row r="6088" s="96" customFormat="true" ht="13.5"/>
    <row r="6089" s="96" customFormat="true" ht="13.5"/>
    <row r="6090" s="96" customFormat="true" ht="13.5"/>
    <row r="6091" s="96" customFormat="true" ht="13.5"/>
    <row r="6092" s="96" customFormat="true" ht="13.5"/>
    <row r="6093" s="96" customFormat="true" ht="13.5"/>
    <row r="6094" s="96" customFormat="true" ht="13.5"/>
    <row r="6095" s="96" customFormat="true" ht="13.5"/>
    <row r="6096" s="96" customFormat="true" ht="13.5"/>
    <row r="6097" s="96" customFormat="true" ht="13.5"/>
    <row r="6098" s="96" customFormat="true" ht="13.5"/>
    <row r="6099" s="96" customFormat="true" ht="13.5"/>
    <row r="6100" s="96" customFormat="true" ht="13.5"/>
    <row r="6101" s="96" customFormat="true" ht="13.5"/>
    <row r="6102" s="96" customFormat="true" ht="13.5"/>
    <row r="6103" s="96" customFormat="true" ht="13.5"/>
    <row r="6104" s="96" customFormat="true" ht="13.5"/>
    <row r="6105" s="96" customFormat="true" ht="13.5"/>
    <row r="6106" s="96" customFormat="true" ht="13.5"/>
    <row r="6107" s="96" customFormat="true" ht="13.5"/>
    <row r="6108" s="96" customFormat="true" ht="13.5"/>
    <row r="6109" s="96" customFormat="true" ht="13.5"/>
    <row r="6110" s="96" customFormat="true" ht="13.5"/>
    <row r="6111" s="96" customFormat="true" ht="13.5"/>
    <row r="6112" s="96" customFormat="true" ht="13.5"/>
    <row r="6113" s="96" customFormat="true" ht="13.5"/>
    <row r="6114" s="96" customFormat="true" ht="13.5"/>
    <row r="6115" s="96" customFormat="true" ht="13.5"/>
    <row r="6116" s="96" customFormat="true" ht="13.5"/>
    <row r="6117" s="96" customFormat="true" ht="13.5"/>
    <row r="6118" s="96" customFormat="true" ht="13.5"/>
    <row r="6119" s="96" customFormat="true" ht="13.5"/>
    <row r="6120" s="96" customFormat="true" ht="13.5"/>
    <row r="6121" s="96" customFormat="true" ht="13.5"/>
    <row r="6122" s="96" customFormat="true" ht="13.5"/>
    <row r="6123" s="96" customFormat="true" ht="13.5"/>
    <row r="6124" s="96" customFormat="true" ht="13.5"/>
    <row r="6125" s="96" customFormat="true" ht="13.5"/>
    <row r="6126" s="96" customFormat="true" ht="13.5"/>
    <row r="6127" s="96" customFormat="true" ht="13.5"/>
    <row r="6128" s="96" customFormat="true" ht="13.5"/>
    <row r="6129" s="96" customFormat="true" ht="13.5"/>
    <row r="6130" s="96" customFormat="true" ht="13.5"/>
    <row r="6131" s="96" customFormat="true" ht="13.5"/>
    <row r="6132" s="96" customFormat="true" ht="13.5"/>
    <row r="6133" s="96" customFormat="true" ht="13.5"/>
    <row r="6134" s="96" customFormat="true" ht="13.5"/>
    <row r="6135" s="96" customFormat="true" ht="13.5"/>
    <row r="6136" s="96" customFormat="true" ht="13.5"/>
    <row r="6137" s="96" customFormat="true" ht="13.5"/>
    <row r="6138" s="96" customFormat="true" ht="13.5"/>
    <row r="6139" s="96" customFormat="true" ht="13.5"/>
    <row r="6140" s="96" customFormat="true" ht="13.5"/>
    <row r="6141" s="96" customFormat="true" ht="13.5"/>
    <row r="6142" s="96" customFormat="true" ht="13.5"/>
    <row r="6143" s="96" customFormat="true" ht="13.5"/>
    <row r="6144" s="96" customFormat="true" ht="13.5"/>
    <row r="6145" s="96" customFormat="true" ht="13.5"/>
    <row r="6146" s="96" customFormat="true" ht="13.5"/>
    <row r="6147" s="96" customFormat="true" ht="13.5"/>
    <row r="6148" s="96" customFormat="true" ht="13.5"/>
    <row r="6149" s="96" customFormat="true" ht="13.5"/>
    <row r="6150" s="96" customFormat="true" ht="13.5"/>
    <row r="6151" s="96" customFormat="true" ht="13.5"/>
    <row r="6152" s="96" customFormat="true" ht="13.5"/>
    <row r="6153" s="96" customFormat="true" ht="13.5"/>
    <row r="6154" s="96" customFormat="true" ht="13.5"/>
    <row r="6155" s="96" customFormat="true" ht="13.5"/>
    <row r="6156" s="96" customFormat="true" ht="13.5"/>
    <row r="6157" s="96" customFormat="true" ht="13.5"/>
    <row r="6158" s="96" customFormat="true" ht="13.5"/>
    <row r="6159" s="96" customFormat="true" ht="13.5"/>
    <row r="6160" s="96" customFormat="true" ht="13.5"/>
    <row r="6161" s="96" customFormat="true" ht="13.5"/>
    <row r="6162" s="96" customFormat="true" ht="13.5"/>
    <row r="6163" s="96" customFormat="true" ht="13.5"/>
    <row r="6164" s="96" customFormat="true" ht="13.5"/>
    <row r="6165" s="96" customFormat="true" ht="13.5"/>
    <row r="6166" s="96" customFormat="true" ht="13.5"/>
    <row r="6167" s="96" customFormat="true" ht="13.5"/>
    <row r="6168" s="96" customFormat="true" ht="13.5"/>
    <row r="6169" s="96" customFormat="true" ht="13.5"/>
    <row r="6170" s="96" customFormat="true" ht="13.5"/>
    <row r="6171" s="96" customFormat="true" ht="13.5"/>
    <row r="6172" s="96" customFormat="true" ht="13.5"/>
    <row r="6173" s="96" customFormat="true" ht="13.5"/>
    <row r="6174" s="96" customFormat="true" ht="13.5"/>
    <row r="6175" s="96" customFormat="true" ht="13.5"/>
    <row r="6176" s="96" customFormat="true" ht="13.5"/>
    <row r="6177" s="96" customFormat="true" ht="13.5"/>
    <row r="6178" s="96" customFormat="true" ht="13.5"/>
    <row r="6179" s="96" customFormat="true" ht="13.5"/>
    <row r="6180" s="96" customFormat="true" ht="13.5"/>
    <row r="6181" s="96" customFormat="true" ht="13.5"/>
    <row r="6182" s="96" customFormat="true" ht="13.5"/>
    <row r="6183" s="96" customFormat="true" ht="13.5"/>
    <row r="6184" s="96" customFormat="true" ht="13.5"/>
    <row r="6185" s="96" customFormat="true" ht="13.5"/>
    <row r="6186" s="96" customFormat="true" ht="13.5"/>
    <row r="6187" s="96" customFormat="true" ht="13.5"/>
    <row r="6188" s="96" customFormat="true" ht="13.5"/>
    <row r="6189" s="96" customFormat="true" ht="13.5"/>
    <row r="6190" s="96" customFormat="true" ht="13.5"/>
    <row r="6191" s="96" customFormat="true" ht="13.5"/>
    <row r="6192" s="96" customFormat="true" ht="13.5"/>
    <row r="6193" s="96" customFormat="true" ht="13.5"/>
    <row r="6194" s="96" customFormat="true" ht="13.5"/>
    <row r="6195" s="96" customFormat="true" ht="13.5"/>
    <row r="6196" s="96" customFormat="true" ht="13.5"/>
    <row r="6197" s="96" customFormat="true" ht="13.5"/>
    <row r="6198" s="96" customFormat="true" ht="13.5"/>
    <row r="6199" s="96" customFormat="true" ht="13.5"/>
    <row r="6200" s="96" customFormat="true" ht="13.5"/>
    <row r="6201" s="96" customFormat="true" ht="13.5"/>
    <row r="6202" s="96" customFormat="true" ht="13.5"/>
    <row r="6203" s="96" customFormat="true" ht="13.5"/>
    <row r="6204" s="96" customFormat="true" ht="13.5"/>
    <row r="6205" s="96" customFormat="true" ht="13.5"/>
    <row r="6206" s="96" customFormat="true" ht="13.5"/>
    <row r="6207" s="96" customFormat="true" ht="13.5"/>
    <row r="6208" s="96" customFormat="true" ht="13.5"/>
    <row r="6209" s="96" customFormat="true" ht="13.5"/>
    <row r="6210" s="96" customFormat="true" ht="13.5"/>
    <row r="6211" s="96" customFormat="true" ht="13.5"/>
    <row r="6212" s="96" customFormat="true" ht="13.5"/>
    <row r="6213" s="96" customFormat="true" ht="13.5"/>
    <row r="6214" s="96" customFormat="true" ht="13.5"/>
    <row r="6215" s="96" customFormat="true" ht="13.5"/>
    <row r="6216" s="96" customFormat="true" ht="13.5"/>
    <row r="6217" s="96" customFormat="true" ht="13.5"/>
    <row r="6218" s="96" customFormat="true" ht="13.5"/>
    <row r="6219" s="96" customFormat="true" ht="13.5"/>
    <row r="6220" s="96" customFormat="true" ht="13.5"/>
    <row r="6221" s="96" customFormat="true" ht="13.5"/>
    <row r="6222" s="96" customFormat="true" ht="13.5"/>
    <row r="6223" s="96" customFormat="true" ht="13.5"/>
    <row r="6224" s="96" customFormat="true" ht="13.5"/>
    <row r="6225" s="96" customFormat="true" ht="13.5"/>
    <row r="6226" s="96" customFormat="true" ht="13.5"/>
    <row r="6227" s="96" customFormat="true" ht="13.5"/>
    <row r="6228" s="96" customFormat="true" ht="13.5"/>
    <row r="6229" s="96" customFormat="true" ht="13.5"/>
    <row r="6230" s="96" customFormat="true" ht="13.5"/>
    <row r="6231" s="96" customFormat="true" ht="13.5"/>
    <row r="6232" s="96" customFormat="true" ht="13.5"/>
    <row r="6233" s="96" customFormat="true" ht="13.5"/>
    <row r="6234" s="96" customFormat="true" ht="13.5"/>
    <row r="6235" s="96" customFormat="true" ht="13.5"/>
    <row r="6236" s="96" customFormat="true" ht="13.5"/>
    <row r="6237" s="96" customFormat="true" ht="13.5"/>
    <row r="6238" s="96" customFormat="true" ht="13.5"/>
    <row r="6239" s="96" customFormat="true" ht="13.5"/>
    <row r="6240" s="96" customFormat="true" ht="13.5"/>
    <row r="6241" s="96" customFormat="true" ht="13.5"/>
    <row r="6242" s="96" customFormat="true" ht="13.5"/>
    <row r="6243" s="96" customFormat="true" ht="13.5"/>
    <row r="6244" s="96" customFormat="true" ht="13.5"/>
    <row r="6245" s="96" customFormat="true" ht="13.5"/>
    <row r="6246" s="96" customFormat="true" ht="13.5"/>
    <row r="6247" s="96" customFormat="true" ht="13.5"/>
    <row r="6248" s="96" customFormat="true" ht="13.5"/>
    <row r="6249" s="96" customFormat="true" ht="13.5"/>
    <row r="6250" s="96" customFormat="true" ht="13.5"/>
    <row r="6251" s="96" customFormat="true" ht="13.5"/>
    <row r="6252" s="96" customFormat="true" ht="13.5"/>
    <row r="6253" s="96" customFormat="true" ht="13.5"/>
    <row r="6254" s="96" customFormat="true" ht="13.5"/>
    <row r="6255" s="96" customFormat="true" ht="13.5"/>
    <row r="6256" s="96" customFormat="true" ht="13.5"/>
    <row r="6257" s="96" customFormat="true" ht="13.5"/>
    <row r="6258" s="96" customFormat="true" ht="13.5"/>
    <row r="6259" s="96" customFormat="true" ht="13.5"/>
    <row r="6260" s="96" customFormat="true" ht="13.5"/>
    <row r="6261" s="96" customFormat="true" ht="13.5"/>
    <row r="6262" s="96" customFormat="true" ht="13.5"/>
    <row r="6263" s="96" customFormat="true" ht="13.5"/>
    <row r="6264" s="96" customFormat="true" ht="13.5"/>
    <row r="6265" s="96" customFormat="true" ht="13.5"/>
    <row r="6266" s="96" customFormat="true" ht="13.5"/>
    <row r="6267" s="96" customFormat="true" ht="13.5"/>
    <row r="6268" s="96" customFormat="true" ht="13.5"/>
    <row r="6269" s="96" customFormat="true" ht="13.5"/>
    <row r="6270" s="96" customFormat="true" ht="13.5"/>
    <row r="6271" s="96" customFormat="true" ht="13.5"/>
    <row r="6272" s="96" customFormat="true" ht="13.5"/>
    <row r="6273" s="96" customFormat="true" ht="13.5"/>
    <row r="6274" s="96" customFormat="true" ht="13.5"/>
    <row r="6275" s="96" customFormat="true" ht="13.5"/>
    <row r="6276" s="96" customFormat="true" ht="13.5"/>
    <row r="6277" s="96" customFormat="true" ht="13.5"/>
    <row r="6278" s="96" customFormat="true" ht="13.5"/>
    <row r="6279" s="96" customFormat="true" ht="13.5"/>
    <row r="6280" s="96" customFormat="true" ht="13.5"/>
    <row r="6281" s="96" customFormat="true" ht="13.5"/>
    <row r="6282" s="96" customFormat="true" ht="13.5"/>
    <row r="6283" s="96" customFormat="true" ht="13.5"/>
    <row r="6284" s="96" customFormat="true" ht="13.5"/>
    <row r="6285" s="96" customFormat="true" ht="13.5"/>
    <row r="6286" s="96" customFormat="true" ht="13.5"/>
    <row r="6287" s="96" customFormat="true" ht="13.5"/>
    <row r="6288" s="96" customFormat="true" ht="13.5"/>
    <row r="6289" s="96" customFormat="true" ht="13.5"/>
    <row r="6290" s="96" customFormat="true" ht="13.5"/>
    <row r="6291" s="96" customFormat="true" ht="13.5"/>
    <row r="6292" s="96" customFormat="true" ht="13.5"/>
    <row r="6293" s="96" customFormat="true" ht="13.5"/>
    <row r="6294" s="96" customFormat="true" ht="13.5"/>
    <row r="6295" s="96" customFormat="true" ht="13.5"/>
    <row r="6296" s="96" customFormat="true" ht="13.5"/>
    <row r="6297" s="96" customFormat="true" ht="13.5"/>
    <row r="6298" s="96" customFormat="true" ht="13.5"/>
    <row r="6299" s="96" customFormat="true" ht="13.5"/>
    <row r="6300" s="96" customFormat="true" ht="13.5"/>
    <row r="6301" s="96" customFormat="true" ht="13.5"/>
    <row r="6302" s="96" customFormat="true" ht="13.5"/>
    <row r="6303" s="96" customFormat="true" ht="13.5"/>
    <row r="6304" s="96" customFormat="true" ht="13.5"/>
    <row r="6305" s="96" customFormat="true" ht="13.5"/>
    <row r="6306" s="96" customFormat="true" ht="13.5"/>
    <row r="6307" s="96" customFormat="true" ht="13.5"/>
    <row r="6308" s="96" customFormat="true" ht="13.5"/>
    <row r="6309" s="96" customFormat="true" ht="13.5"/>
    <row r="6310" s="96" customFormat="true" ht="13.5"/>
    <row r="6311" s="96" customFormat="true" ht="13.5"/>
    <row r="6312" s="96" customFormat="true" ht="13.5"/>
    <row r="6313" s="96" customFormat="true" ht="13.5"/>
    <row r="6314" s="96" customFormat="true" ht="13.5"/>
    <row r="6315" s="96" customFormat="true" ht="13.5"/>
    <row r="6316" s="96" customFormat="true" ht="13.5"/>
    <row r="6317" s="96" customFormat="true" ht="13.5"/>
    <row r="6318" s="96" customFormat="true" ht="13.5"/>
    <row r="6319" s="96" customFormat="true" ht="13.5"/>
    <row r="6320" s="96" customFormat="true" ht="13.5"/>
    <row r="6321" s="96" customFormat="true" ht="13.5"/>
    <row r="6322" s="96" customFormat="true" ht="13.5"/>
    <row r="6323" s="96" customFormat="true" ht="13.5"/>
    <row r="6324" s="96" customFormat="true" ht="13.5"/>
    <row r="6325" s="96" customFormat="true" ht="13.5"/>
    <row r="6326" s="96" customFormat="true" ht="13.5"/>
    <row r="6327" s="96" customFormat="true" ht="13.5"/>
    <row r="6328" s="96" customFormat="true" ht="13.5"/>
    <row r="6329" s="96" customFormat="true" ht="13.5"/>
    <row r="6330" s="96" customFormat="true" ht="13.5"/>
    <row r="6331" s="96" customFormat="true" ht="13.5"/>
    <row r="6332" s="96" customFormat="true" ht="13.5"/>
    <row r="6333" s="96" customFormat="true" ht="13.5"/>
    <row r="6334" s="96" customFormat="true" ht="13.5"/>
    <row r="6335" s="96" customFormat="true" ht="13.5"/>
    <row r="6336" s="96" customFormat="true" ht="13.5"/>
    <row r="6337" s="96" customFormat="true" ht="13.5"/>
    <row r="6338" s="96" customFormat="true" ht="13.5"/>
    <row r="6339" s="96" customFormat="true" ht="13.5"/>
    <row r="6340" s="96" customFormat="true" ht="13.5"/>
    <row r="6341" s="96" customFormat="true" ht="13.5"/>
    <row r="6342" s="96" customFormat="true" ht="13.5"/>
    <row r="6343" s="96" customFormat="true" ht="13.5"/>
    <row r="6344" s="96" customFormat="true" ht="13.5"/>
    <row r="6345" s="96" customFormat="true" ht="13.5"/>
    <row r="6346" s="96" customFormat="true" ht="13.5"/>
    <row r="6347" s="96" customFormat="true" ht="13.5"/>
    <row r="6348" s="96" customFormat="true" ht="13.5"/>
    <row r="6349" s="96" customFormat="true" ht="13.5"/>
    <row r="6350" s="96" customFormat="true" ht="13.5"/>
    <row r="6351" s="96" customFormat="true" ht="13.5"/>
    <row r="6352" s="96" customFormat="true" ht="13.5"/>
    <row r="6353" s="96" customFormat="true" ht="13.5"/>
    <row r="6354" s="96" customFormat="true" ht="13.5"/>
    <row r="6355" s="96" customFormat="true" ht="13.5"/>
    <row r="6356" s="96" customFormat="true" ht="13.5"/>
    <row r="6357" s="96" customFormat="true" ht="13.5"/>
    <row r="6358" s="96" customFormat="true" ht="13.5"/>
    <row r="6359" s="96" customFormat="true" ht="13.5"/>
    <row r="6360" s="96" customFormat="true" ht="13.5"/>
    <row r="6361" s="96" customFormat="true" ht="13.5"/>
    <row r="6362" s="96" customFormat="true" ht="13.5"/>
    <row r="6363" s="96" customFormat="true" ht="13.5"/>
    <row r="6364" s="96" customFormat="true" ht="13.5"/>
    <row r="6365" s="96" customFormat="true" ht="13.5"/>
    <row r="6366" s="96" customFormat="true" ht="13.5"/>
    <row r="6367" s="96" customFormat="true" ht="13.5"/>
    <row r="6368" s="96" customFormat="true" ht="13.5"/>
    <row r="6369" s="96" customFormat="true" ht="13.5"/>
    <row r="6370" s="96" customFormat="true" ht="13.5"/>
    <row r="6371" s="96" customFormat="true" ht="13.5"/>
    <row r="6372" s="96" customFormat="true" ht="13.5"/>
    <row r="6373" s="96" customFormat="true" ht="13.5"/>
    <row r="6374" s="96" customFormat="true" ht="13.5"/>
    <row r="6375" s="96" customFormat="true" ht="13.5"/>
    <row r="6376" s="96" customFormat="true" ht="13.5"/>
    <row r="6377" s="96" customFormat="true" ht="13.5"/>
    <row r="6378" s="96" customFormat="true" ht="13.5"/>
    <row r="6379" s="96" customFormat="true" ht="13.5"/>
    <row r="6380" s="96" customFormat="true" ht="13.5"/>
    <row r="6381" s="96" customFormat="true" ht="13.5"/>
    <row r="6382" s="96" customFormat="true" ht="13.5"/>
    <row r="6383" s="96" customFormat="true" ht="13.5"/>
    <row r="6384" s="96" customFormat="true" ht="13.5"/>
    <row r="6385" s="96" customFormat="true" ht="13.5"/>
    <row r="6386" s="96" customFormat="true" ht="13.5"/>
    <row r="6387" s="96" customFormat="true" ht="13.5"/>
    <row r="6388" s="96" customFormat="true" ht="13.5"/>
    <row r="6389" s="96" customFormat="true" ht="13.5"/>
    <row r="6390" s="96" customFormat="true" ht="13.5"/>
    <row r="6391" s="96" customFormat="true" ht="13.5"/>
    <row r="6392" s="96" customFormat="true" ht="13.5"/>
    <row r="6393" s="96" customFormat="true" ht="13.5"/>
    <row r="6394" s="96" customFormat="true" ht="13.5"/>
    <row r="6395" s="96" customFormat="true" ht="13.5"/>
    <row r="6396" s="96" customFormat="true" ht="13.5"/>
    <row r="6397" s="96" customFormat="true" ht="13.5"/>
    <row r="6398" s="96" customFormat="true" ht="13.5"/>
    <row r="6399" s="96" customFormat="true" ht="13.5"/>
    <row r="6400" s="96" customFormat="true" ht="13.5"/>
    <row r="6401" s="96" customFormat="true" ht="13.5"/>
    <row r="6402" s="96" customFormat="true" ht="13.5"/>
    <row r="6403" s="96" customFormat="true" ht="13.5"/>
    <row r="6404" s="96" customFormat="true" ht="13.5"/>
    <row r="6405" s="96" customFormat="true" ht="13.5"/>
    <row r="6406" s="96" customFormat="true" ht="13.5"/>
    <row r="6407" s="96" customFormat="true" ht="13.5"/>
    <row r="6408" s="96" customFormat="true" ht="13.5"/>
    <row r="6409" s="96" customFormat="true" ht="13.5"/>
    <row r="6410" s="96" customFormat="true" ht="13.5"/>
    <row r="6411" s="96" customFormat="true" ht="13.5"/>
    <row r="6412" s="96" customFormat="true" ht="13.5"/>
    <row r="6413" s="96" customFormat="true" ht="13.5"/>
    <row r="6414" s="96" customFormat="true" ht="13.5"/>
    <row r="6415" s="96" customFormat="true" ht="13.5"/>
    <row r="6416" s="96" customFormat="true" ht="13.5"/>
    <row r="6417" s="96" customFormat="true" ht="13.5"/>
    <row r="6418" s="96" customFormat="true" ht="13.5"/>
    <row r="6419" s="96" customFormat="true" ht="13.5"/>
    <row r="6420" s="96" customFormat="true" ht="13.5"/>
    <row r="6421" s="96" customFormat="true" ht="13.5"/>
    <row r="6422" s="96" customFormat="true" ht="13.5"/>
    <row r="6423" s="96" customFormat="true" ht="13.5"/>
    <row r="6424" s="96" customFormat="true" ht="13.5"/>
    <row r="6425" s="96" customFormat="true" ht="13.5"/>
    <row r="6426" s="96" customFormat="true" ht="13.5"/>
    <row r="6427" s="96" customFormat="true" ht="13.5"/>
    <row r="6428" s="96" customFormat="true" ht="13.5"/>
    <row r="6429" s="96" customFormat="true" ht="13.5"/>
    <row r="6430" s="96" customFormat="true" ht="13.5"/>
    <row r="6431" s="96" customFormat="true" ht="13.5"/>
    <row r="6432" s="96" customFormat="true" ht="13.5"/>
    <row r="6433" s="96" customFormat="true" ht="13.5"/>
    <row r="6434" s="96" customFormat="true" ht="13.5"/>
    <row r="6435" s="96" customFormat="true" ht="13.5"/>
    <row r="6436" s="96" customFormat="true" ht="13.5"/>
    <row r="6437" s="96" customFormat="true" ht="13.5"/>
    <row r="6438" s="96" customFormat="true" ht="13.5"/>
    <row r="6439" s="96" customFormat="true" ht="13.5"/>
    <row r="6440" s="96" customFormat="true" ht="13.5"/>
    <row r="6441" s="96" customFormat="true" ht="13.5"/>
    <row r="6442" s="96" customFormat="true" ht="13.5"/>
    <row r="6443" s="96" customFormat="true" ht="13.5"/>
    <row r="6444" s="96" customFormat="true" ht="13.5"/>
    <row r="6445" s="96" customFormat="true" ht="13.5"/>
    <row r="6446" s="96" customFormat="true" ht="13.5"/>
    <row r="6447" s="96" customFormat="true" ht="13.5"/>
    <row r="6448" s="96" customFormat="true" ht="13.5"/>
    <row r="6449" s="96" customFormat="true" ht="13.5"/>
    <row r="6450" s="96" customFormat="true" ht="13.5"/>
    <row r="6451" s="96" customFormat="true" ht="13.5"/>
    <row r="6452" s="96" customFormat="true" ht="13.5"/>
    <row r="6453" s="96" customFormat="true" ht="13.5"/>
    <row r="6454" s="96" customFormat="true" ht="13.5"/>
    <row r="6455" s="96" customFormat="true" ht="13.5"/>
    <row r="6456" s="96" customFormat="true" ht="13.5"/>
    <row r="6457" s="96" customFormat="true" ht="13.5"/>
    <row r="6458" s="96" customFormat="true" ht="13.5"/>
    <row r="6459" s="96" customFormat="true" ht="13.5"/>
    <row r="6460" s="96" customFormat="true" ht="13.5"/>
    <row r="6461" s="96" customFormat="true" ht="13.5"/>
    <row r="6462" s="96" customFormat="true" ht="13.5"/>
    <row r="6463" s="96" customFormat="true" ht="13.5"/>
    <row r="6464" s="96" customFormat="true" ht="13.5"/>
    <row r="6465" s="96" customFormat="true" ht="13.5"/>
    <row r="6466" s="96" customFormat="true" ht="13.5"/>
    <row r="6467" s="96" customFormat="true" ht="13.5"/>
    <row r="6468" s="96" customFormat="true" ht="13.5"/>
    <row r="6469" s="96" customFormat="true" ht="13.5"/>
    <row r="6470" s="96" customFormat="true" ht="13.5"/>
    <row r="6471" s="96" customFormat="true" ht="13.5"/>
    <row r="6472" s="96" customFormat="true" ht="13.5"/>
    <row r="6473" s="96" customFormat="true" ht="13.5"/>
    <row r="6474" s="96" customFormat="true" ht="13.5"/>
    <row r="6475" s="96" customFormat="true" ht="13.5"/>
    <row r="6476" s="96" customFormat="true" ht="13.5"/>
    <row r="6477" s="96" customFormat="true" ht="13.5"/>
    <row r="6478" s="96" customFormat="true" ht="13.5"/>
    <row r="6479" s="96" customFormat="true" ht="13.5"/>
    <row r="6480" s="96" customFormat="true" ht="13.5"/>
    <row r="6481" s="96" customFormat="true" ht="13.5"/>
    <row r="6482" s="96" customFormat="true" ht="13.5"/>
    <row r="6483" s="96" customFormat="true" ht="13.5"/>
    <row r="6484" s="96" customFormat="true" ht="13.5"/>
    <row r="6485" s="96" customFormat="true" ht="13.5"/>
    <row r="6486" s="96" customFormat="true" ht="13.5"/>
    <row r="6487" s="96" customFormat="true" ht="13.5"/>
    <row r="6488" s="96" customFormat="true" ht="13.5"/>
    <row r="6489" s="96" customFormat="true" ht="13.5"/>
    <row r="6490" s="96" customFormat="true" ht="13.5"/>
    <row r="6491" s="96" customFormat="true" ht="13.5"/>
    <row r="6492" s="96" customFormat="true" ht="13.5"/>
    <row r="6493" s="96" customFormat="true" ht="13.5"/>
    <row r="6494" s="96" customFormat="true" ht="13.5"/>
    <row r="6495" s="96" customFormat="true" ht="13.5"/>
    <row r="6496" s="96" customFormat="true" ht="13.5"/>
    <row r="6497" s="96" customFormat="true" ht="13.5"/>
    <row r="6498" s="96" customFormat="true" ht="13.5"/>
    <row r="6499" s="96" customFormat="true" ht="13.5"/>
    <row r="6500" s="96" customFormat="true" ht="13.5"/>
    <row r="6501" s="96" customFormat="true" ht="13.5"/>
    <row r="6502" s="96" customFormat="true" ht="13.5"/>
    <row r="6503" s="96" customFormat="true" ht="13.5"/>
    <row r="6504" s="96" customFormat="true" ht="13.5"/>
    <row r="6505" s="96" customFormat="true" ht="13.5"/>
    <row r="6506" s="96" customFormat="true" ht="13.5"/>
    <row r="6507" s="96" customFormat="true" ht="13.5"/>
    <row r="6508" s="96" customFormat="true" ht="13.5"/>
    <row r="6509" s="96" customFormat="true" ht="13.5"/>
    <row r="6510" s="96" customFormat="true" ht="13.5"/>
    <row r="6511" s="96" customFormat="true" ht="13.5"/>
    <row r="6512" s="96" customFormat="true" ht="13.5"/>
    <row r="6513" s="96" customFormat="true" ht="13.5"/>
    <row r="6514" s="96" customFormat="true" ht="13.5"/>
    <row r="6515" s="96" customFormat="true" ht="13.5"/>
    <row r="6516" s="96" customFormat="true" ht="13.5"/>
    <row r="6517" s="96" customFormat="true" ht="13.5"/>
    <row r="6518" s="96" customFormat="true" ht="13.5"/>
    <row r="6519" s="96" customFormat="true" ht="13.5"/>
    <row r="6520" s="96" customFormat="true" ht="13.5"/>
    <row r="6521" s="96" customFormat="true" ht="13.5"/>
    <row r="6522" s="96" customFormat="true" ht="13.5"/>
    <row r="6523" s="96" customFormat="true" ht="13.5"/>
    <row r="6524" s="96" customFormat="true" ht="13.5"/>
    <row r="6525" s="96" customFormat="true" ht="13.5"/>
    <row r="6526" s="96" customFormat="true" ht="13.5"/>
    <row r="6527" s="96" customFormat="true" ht="13.5"/>
    <row r="6528" s="96" customFormat="true" ht="13.5"/>
    <row r="6529" s="96" customFormat="true" ht="13.5"/>
    <row r="6530" s="96" customFormat="true" ht="13.5"/>
    <row r="6531" s="96" customFormat="true" ht="13.5"/>
    <row r="6532" s="96" customFormat="true" ht="13.5"/>
    <row r="6533" s="96" customFormat="true" ht="13.5"/>
    <row r="6534" s="96" customFormat="true" ht="13.5"/>
    <row r="6535" s="96" customFormat="true" ht="13.5"/>
    <row r="6536" s="96" customFormat="true" ht="13.5"/>
    <row r="6537" s="96" customFormat="true" ht="13.5"/>
    <row r="6538" s="96" customFormat="true" ht="13.5"/>
    <row r="6539" s="96" customFormat="true" ht="13.5"/>
    <row r="6540" s="96" customFormat="true" ht="13.5"/>
    <row r="6541" s="96" customFormat="true" ht="13.5"/>
    <row r="6542" s="96" customFormat="true" ht="13.5"/>
    <row r="6543" s="96" customFormat="true" ht="13.5"/>
    <row r="6544" s="96" customFormat="true" ht="13.5"/>
    <row r="6545" s="96" customFormat="true" ht="13.5"/>
    <row r="6546" s="96" customFormat="true" ht="13.5"/>
    <row r="6547" s="96" customFormat="true" ht="13.5"/>
    <row r="6548" s="96" customFormat="true" ht="13.5"/>
    <row r="6549" s="96" customFormat="true" ht="13.5"/>
    <row r="6550" s="96" customFormat="true" ht="13.5"/>
    <row r="6551" s="96" customFormat="true" ht="13.5"/>
    <row r="6552" s="96" customFormat="true" ht="13.5"/>
    <row r="6553" s="96" customFormat="true" ht="13.5"/>
    <row r="6554" s="96" customFormat="true" ht="13.5"/>
    <row r="6555" s="96" customFormat="true" ht="13.5"/>
    <row r="6556" s="96" customFormat="true" ht="13.5"/>
    <row r="6557" s="96" customFormat="true" ht="13.5"/>
    <row r="6558" s="96" customFormat="true" ht="13.5"/>
    <row r="6559" s="96" customFormat="true" ht="13.5"/>
    <row r="6560" s="96" customFormat="true" ht="13.5"/>
    <row r="6561" s="96" customFormat="true" ht="13.5"/>
    <row r="6562" s="96" customFormat="true" ht="13.5"/>
    <row r="6563" s="96" customFormat="true" ht="13.5"/>
    <row r="6564" s="96" customFormat="true" ht="13.5"/>
    <row r="6565" s="96" customFormat="true" ht="13.5"/>
    <row r="6566" s="96" customFormat="true" ht="13.5"/>
    <row r="6567" s="96" customFormat="true" ht="13.5"/>
    <row r="6568" s="96" customFormat="true" ht="13.5"/>
    <row r="6569" s="96" customFormat="true" ht="13.5"/>
    <row r="6570" s="96" customFormat="true" ht="13.5"/>
    <row r="6571" s="96" customFormat="true" ht="13.5"/>
    <row r="6572" s="96" customFormat="true" ht="13.5"/>
    <row r="6573" s="96" customFormat="true" ht="13.5"/>
    <row r="6574" s="96" customFormat="true" ht="13.5"/>
    <row r="6575" s="96" customFormat="true" ht="13.5"/>
    <row r="6576" s="96" customFormat="true" ht="13.5"/>
    <row r="6577" s="96" customFormat="true" ht="13.5"/>
    <row r="6578" s="96" customFormat="true" ht="13.5"/>
    <row r="6579" s="96" customFormat="true" ht="13.5"/>
    <row r="6580" s="96" customFormat="true" ht="13.5"/>
    <row r="6581" s="96" customFormat="true" ht="13.5"/>
    <row r="6582" s="96" customFormat="true" ht="13.5"/>
    <row r="6583" s="96" customFormat="true" ht="13.5"/>
    <row r="6584" s="96" customFormat="true" ht="13.5"/>
    <row r="6585" s="96" customFormat="true" ht="13.5"/>
    <row r="6586" s="96" customFormat="true" ht="13.5"/>
    <row r="6587" s="96" customFormat="true" ht="13.5"/>
    <row r="6588" s="96" customFormat="true" ht="13.5"/>
    <row r="6589" s="96" customFormat="true" ht="13.5"/>
    <row r="6590" s="96" customFormat="true" ht="13.5"/>
    <row r="6591" s="96" customFormat="true" ht="13.5"/>
    <row r="6592" s="96" customFormat="true" ht="13.5"/>
    <row r="6593" s="96" customFormat="true" ht="13.5"/>
    <row r="6594" s="96" customFormat="true" ht="13.5"/>
    <row r="6595" s="96" customFormat="true" ht="13.5"/>
    <row r="6596" s="96" customFormat="true" ht="13.5"/>
    <row r="6597" s="96" customFormat="true" ht="13.5"/>
    <row r="6598" s="96" customFormat="true" ht="13.5"/>
    <row r="6599" s="96" customFormat="true" ht="13.5"/>
    <row r="6600" s="96" customFormat="true" ht="13.5"/>
    <row r="6601" s="96" customFormat="true" ht="13.5"/>
    <row r="6602" s="96" customFormat="true" ht="13.5"/>
    <row r="6603" s="96" customFormat="true" ht="13.5"/>
    <row r="6604" s="96" customFormat="true" ht="13.5"/>
    <row r="6605" s="96" customFormat="true" ht="13.5"/>
    <row r="6606" s="96" customFormat="true" ht="13.5"/>
    <row r="6607" s="96" customFormat="true" ht="13.5"/>
    <row r="6608" s="96" customFormat="true" ht="13.5"/>
    <row r="6609" s="96" customFormat="true" ht="13.5"/>
    <row r="6610" s="96" customFormat="true" ht="13.5"/>
    <row r="6611" s="96" customFormat="true" ht="13.5"/>
    <row r="6612" s="96" customFormat="true" ht="13.5"/>
    <row r="6613" s="96" customFormat="true" ht="13.5"/>
    <row r="6614" s="96" customFormat="true" ht="13.5"/>
    <row r="6615" s="96" customFormat="true" ht="13.5"/>
    <row r="6616" s="96" customFormat="true" ht="13.5"/>
    <row r="6617" s="96" customFormat="true" ht="13.5"/>
    <row r="6618" s="96" customFormat="true" ht="13.5"/>
    <row r="6619" s="96" customFormat="true" ht="13.5"/>
    <row r="6620" s="96" customFormat="true" ht="13.5"/>
    <row r="6621" s="96" customFormat="true" ht="13.5"/>
    <row r="6622" s="96" customFormat="true" ht="13.5"/>
    <row r="6623" s="96" customFormat="true" ht="13.5"/>
    <row r="6624" s="96" customFormat="true" ht="13.5"/>
    <row r="6625" s="96" customFormat="true" ht="13.5"/>
    <row r="6626" s="96" customFormat="true" ht="13.5"/>
    <row r="6627" s="96" customFormat="true" ht="13.5"/>
    <row r="6628" s="96" customFormat="true" ht="13.5"/>
    <row r="6629" s="96" customFormat="true" ht="13.5"/>
    <row r="6630" s="96" customFormat="true" ht="13.5"/>
    <row r="6631" s="96" customFormat="true" ht="13.5"/>
    <row r="6632" s="96" customFormat="true" ht="13.5"/>
    <row r="6633" s="96" customFormat="true" ht="13.5"/>
    <row r="6634" s="96" customFormat="true" ht="13.5"/>
    <row r="6635" s="96" customFormat="true" ht="13.5"/>
    <row r="6636" s="96" customFormat="true" ht="13.5"/>
    <row r="6637" s="96" customFormat="true" ht="13.5"/>
    <row r="6638" s="96" customFormat="true" ht="13.5"/>
    <row r="6639" s="96" customFormat="true" ht="13.5"/>
    <row r="6640" s="96" customFormat="true" ht="13.5"/>
    <row r="6641" s="96" customFormat="true" ht="13.5"/>
    <row r="6642" s="96" customFormat="true" ht="13.5"/>
    <row r="6643" s="96" customFormat="true" ht="13.5"/>
    <row r="6644" s="96" customFormat="true" ht="13.5"/>
    <row r="6645" s="96" customFormat="true" ht="13.5"/>
    <row r="6646" s="96" customFormat="true" ht="13.5"/>
    <row r="6647" s="96" customFormat="true" ht="13.5"/>
    <row r="6648" s="96" customFormat="true" ht="13.5"/>
    <row r="6649" s="96" customFormat="true" ht="13.5"/>
    <row r="6650" s="96" customFormat="true" ht="13.5"/>
    <row r="6651" s="96" customFormat="true" ht="13.5"/>
    <row r="6652" s="96" customFormat="true" ht="13.5"/>
    <row r="6653" s="96" customFormat="true" ht="13.5"/>
    <row r="6654" s="96" customFormat="true" ht="13.5"/>
    <row r="6655" s="96" customFormat="true" ht="13.5"/>
    <row r="6656" s="96" customFormat="true" ht="13.5"/>
    <row r="6657" s="96" customFormat="true" ht="13.5"/>
    <row r="6658" s="96" customFormat="true" ht="13.5"/>
    <row r="6659" s="96" customFormat="true" ht="13.5"/>
    <row r="6660" s="96" customFormat="true" ht="13.5"/>
    <row r="6661" s="96" customFormat="true" ht="13.5"/>
    <row r="6662" s="96" customFormat="true" ht="13.5"/>
    <row r="6663" s="96" customFormat="true" ht="13.5"/>
    <row r="6664" s="96" customFormat="true" ht="13.5"/>
    <row r="6665" s="96" customFormat="true" ht="13.5"/>
    <row r="6666" s="96" customFormat="true" ht="13.5"/>
    <row r="6667" s="96" customFormat="true" ht="13.5"/>
    <row r="6668" s="96" customFormat="true" ht="13.5"/>
    <row r="6669" s="96" customFormat="true" ht="13.5"/>
    <row r="6670" s="96" customFormat="true" ht="13.5"/>
    <row r="6671" s="96" customFormat="true" ht="13.5"/>
    <row r="6672" s="96" customFormat="true" ht="13.5"/>
    <row r="6673" s="96" customFormat="true" ht="13.5"/>
    <row r="6674" s="96" customFormat="true" ht="13.5"/>
    <row r="6675" s="96" customFormat="true" ht="13.5"/>
    <row r="6676" s="96" customFormat="true" ht="13.5"/>
    <row r="6677" s="96" customFormat="true" ht="13.5"/>
    <row r="6678" s="96" customFormat="true" ht="13.5"/>
    <row r="6679" s="96" customFormat="true" ht="13.5"/>
    <row r="6680" s="96" customFormat="true" ht="13.5"/>
    <row r="6681" s="96" customFormat="true" ht="13.5"/>
    <row r="6682" s="96" customFormat="true" ht="13.5"/>
    <row r="6683" s="96" customFormat="true" ht="13.5"/>
    <row r="6684" s="96" customFormat="true" ht="13.5"/>
    <row r="6685" s="96" customFormat="true" ht="13.5"/>
    <row r="6686" s="96" customFormat="true" ht="13.5"/>
    <row r="6687" s="96" customFormat="true" ht="13.5"/>
    <row r="6688" s="96" customFormat="true" ht="13.5"/>
    <row r="6689" s="96" customFormat="true" ht="13.5"/>
    <row r="6690" s="96" customFormat="true" ht="13.5"/>
    <row r="6691" s="96" customFormat="true" ht="13.5"/>
    <row r="6692" s="96" customFormat="true" ht="13.5"/>
    <row r="6693" s="96" customFormat="true" ht="13.5"/>
    <row r="6694" s="96" customFormat="true" ht="13.5"/>
    <row r="6695" s="96" customFormat="true" ht="13.5"/>
    <row r="6696" s="96" customFormat="true" ht="13.5"/>
    <row r="6697" s="96" customFormat="true" ht="13.5"/>
    <row r="6698" s="96" customFormat="true" ht="13.5"/>
    <row r="6699" s="96" customFormat="true" ht="13.5"/>
    <row r="6700" s="96" customFormat="true" ht="13.5"/>
    <row r="6701" s="96" customFormat="true" ht="13.5"/>
    <row r="6702" s="96" customFormat="true" ht="13.5"/>
    <row r="6703" s="96" customFormat="true" ht="13.5"/>
    <row r="6704" s="96" customFormat="true" ht="13.5"/>
    <row r="6705" s="96" customFormat="true" ht="13.5"/>
    <row r="6706" s="96" customFormat="true" ht="13.5"/>
    <row r="6707" s="96" customFormat="true" ht="13.5"/>
    <row r="6708" s="96" customFormat="true" ht="13.5"/>
    <row r="6709" s="96" customFormat="true" ht="13.5"/>
    <row r="6710" s="96" customFormat="true" ht="13.5"/>
    <row r="6711" s="96" customFormat="true" ht="13.5"/>
    <row r="6712" s="96" customFormat="true" ht="13.5"/>
    <row r="6713" s="96" customFormat="true" ht="13.5"/>
    <row r="6714" s="96" customFormat="true" ht="13.5"/>
    <row r="6715" s="96" customFormat="true" ht="13.5"/>
    <row r="6716" s="96" customFormat="true" ht="13.5"/>
    <row r="6717" s="96" customFormat="true" ht="13.5"/>
    <row r="6718" s="96" customFormat="true" ht="13.5"/>
    <row r="6719" s="96" customFormat="true" ht="13.5"/>
    <row r="6720" s="96" customFormat="true" ht="13.5"/>
    <row r="6721" s="96" customFormat="true" ht="13.5"/>
    <row r="6722" s="96" customFormat="true" ht="13.5"/>
    <row r="6723" s="96" customFormat="true" ht="13.5"/>
    <row r="6724" s="96" customFormat="true" ht="13.5"/>
    <row r="6725" s="96" customFormat="true" ht="13.5"/>
    <row r="6726" s="96" customFormat="true" ht="13.5"/>
    <row r="6727" s="96" customFormat="true" ht="13.5"/>
    <row r="6728" s="96" customFormat="true" ht="13.5"/>
    <row r="6729" s="96" customFormat="true" ht="13.5"/>
    <row r="6730" s="96" customFormat="true" ht="13.5"/>
    <row r="6731" s="96" customFormat="true" ht="13.5"/>
    <row r="6732" s="96" customFormat="true" ht="13.5"/>
    <row r="6733" s="96" customFormat="true" ht="13.5"/>
    <row r="6734" s="96" customFormat="true" ht="13.5"/>
    <row r="6735" s="96" customFormat="true" ht="13.5"/>
    <row r="6736" s="96" customFormat="true" ht="13.5"/>
    <row r="6737" s="96" customFormat="true" ht="13.5"/>
    <row r="6738" s="96" customFormat="true" ht="13.5"/>
    <row r="6739" s="96" customFormat="true" ht="13.5"/>
    <row r="6740" s="96" customFormat="true" ht="13.5"/>
    <row r="6741" s="96" customFormat="true" ht="13.5"/>
    <row r="6742" s="96" customFormat="true" ht="13.5"/>
    <row r="6743" s="96" customFormat="true" ht="13.5"/>
    <row r="6744" s="96" customFormat="true" ht="13.5"/>
    <row r="6745" s="96" customFormat="true" ht="13.5"/>
    <row r="6746" s="96" customFormat="true" ht="13.5"/>
    <row r="6747" s="96" customFormat="true" ht="13.5"/>
    <row r="6748" s="96" customFormat="true" ht="13.5"/>
    <row r="6749" s="96" customFormat="true" ht="13.5"/>
    <row r="6750" s="96" customFormat="true" ht="13.5"/>
    <row r="6751" s="96" customFormat="true" ht="13.5"/>
    <row r="6752" s="96" customFormat="true" ht="13.5"/>
    <row r="6753" s="96" customFormat="true" ht="13.5"/>
    <row r="6754" s="96" customFormat="true" ht="13.5"/>
    <row r="6755" s="96" customFormat="true" ht="13.5"/>
    <row r="6756" s="96" customFormat="true" ht="13.5"/>
    <row r="6757" s="96" customFormat="true" ht="13.5"/>
    <row r="6758" s="96" customFormat="true" ht="13.5"/>
    <row r="6759" s="96" customFormat="true" ht="13.5"/>
    <row r="6760" s="96" customFormat="true" ht="13.5"/>
    <row r="6761" s="96" customFormat="true" ht="13.5"/>
    <row r="6762" s="96" customFormat="true" ht="13.5"/>
    <row r="6763" s="96" customFormat="true" ht="13.5"/>
    <row r="6764" s="96" customFormat="true" ht="13.5"/>
    <row r="6765" s="96" customFormat="true" ht="13.5"/>
    <row r="6766" s="96" customFormat="true" ht="13.5"/>
    <row r="6767" s="96" customFormat="true" ht="13.5"/>
    <row r="6768" s="96" customFormat="true" ht="13.5"/>
    <row r="6769" s="96" customFormat="true" ht="13.5"/>
    <row r="6770" s="96" customFormat="true" ht="13.5"/>
    <row r="6771" s="96" customFormat="true" ht="13.5"/>
    <row r="6772" s="96" customFormat="true" ht="13.5"/>
    <row r="6773" s="96" customFormat="true" ht="13.5"/>
    <row r="6774" s="96" customFormat="true" ht="13.5"/>
    <row r="6775" s="96" customFormat="true" ht="13.5"/>
    <row r="6776" s="96" customFormat="true" ht="13.5"/>
    <row r="6777" s="96" customFormat="true" ht="13.5"/>
    <row r="6778" s="96" customFormat="true" ht="13.5"/>
    <row r="6779" s="96" customFormat="true" ht="13.5"/>
    <row r="6780" s="96" customFormat="true" ht="13.5"/>
    <row r="6781" s="96" customFormat="true" ht="13.5"/>
    <row r="6782" s="96" customFormat="true" ht="13.5"/>
    <row r="6783" s="96" customFormat="true" ht="13.5"/>
    <row r="6784" s="96" customFormat="true" ht="13.5"/>
    <row r="6785" s="96" customFormat="true" ht="13.5"/>
    <row r="6786" s="96" customFormat="true" ht="13.5"/>
    <row r="6787" s="96" customFormat="true" ht="13.5"/>
    <row r="6788" s="96" customFormat="true" ht="13.5"/>
    <row r="6789" s="96" customFormat="true" ht="13.5"/>
    <row r="6790" s="96" customFormat="true" ht="13.5"/>
    <row r="6791" s="96" customFormat="true" ht="13.5"/>
    <row r="6792" s="96" customFormat="true" ht="13.5"/>
    <row r="6793" s="96" customFormat="true" ht="13.5"/>
    <row r="6794" s="96" customFormat="true" ht="13.5"/>
    <row r="6795" s="96" customFormat="true" ht="13.5"/>
    <row r="6796" s="96" customFormat="true" ht="13.5"/>
    <row r="6797" s="96" customFormat="true" ht="13.5"/>
    <row r="6798" s="96" customFormat="true" ht="13.5"/>
    <row r="6799" s="96" customFormat="true" ht="13.5"/>
    <row r="6800" s="96" customFormat="true" ht="13.5"/>
    <row r="6801" s="96" customFormat="true" ht="13.5"/>
    <row r="6802" s="96" customFormat="true" ht="13.5"/>
    <row r="6803" s="96" customFormat="true" ht="13.5"/>
    <row r="6804" s="96" customFormat="true" ht="13.5"/>
    <row r="6805" s="96" customFormat="true" ht="13.5"/>
    <row r="6806" s="96" customFormat="true" ht="13.5"/>
    <row r="6807" s="96" customFormat="true" ht="13.5"/>
    <row r="6808" s="96" customFormat="true" ht="13.5"/>
    <row r="6809" s="96" customFormat="true" ht="13.5"/>
    <row r="6810" s="96" customFormat="true" ht="13.5"/>
    <row r="6811" s="96" customFormat="true" ht="13.5"/>
    <row r="6812" s="96" customFormat="true" ht="13.5"/>
    <row r="6813" s="96" customFormat="true" ht="13.5"/>
    <row r="6814" s="96" customFormat="true" ht="13.5"/>
    <row r="6815" s="96" customFormat="true" ht="13.5"/>
    <row r="6816" s="96" customFormat="true" ht="13.5"/>
    <row r="6817" s="96" customFormat="true" ht="13.5"/>
    <row r="6818" s="96" customFormat="true" ht="13.5"/>
    <row r="6819" s="96" customFormat="true" ht="13.5"/>
    <row r="6820" s="96" customFormat="true" ht="13.5"/>
    <row r="6821" s="96" customFormat="true" ht="13.5"/>
    <row r="6822" s="96" customFormat="true" ht="13.5"/>
    <row r="6823" s="96" customFormat="true" ht="13.5"/>
    <row r="6824" s="96" customFormat="true" ht="13.5"/>
    <row r="6825" s="96" customFormat="true" ht="13.5"/>
    <row r="6826" s="96" customFormat="true" ht="13.5"/>
    <row r="6827" s="96" customFormat="true" ht="13.5"/>
    <row r="6828" s="96" customFormat="true" ht="13.5"/>
    <row r="6829" s="96" customFormat="true" ht="13.5"/>
    <row r="6830" s="96" customFormat="true" ht="13.5"/>
    <row r="6831" s="96" customFormat="true" ht="13.5"/>
    <row r="6832" s="96" customFormat="true" ht="13.5"/>
    <row r="6833" s="96" customFormat="true" ht="13.5"/>
    <row r="6834" s="96" customFormat="true" ht="13.5"/>
    <row r="6835" s="96" customFormat="true" ht="13.5"/>
    <row r="6836" s="96" customFormat="true" ht="13.5"/>
    <row r="6837" s="96" customFormat="true" ht="13.5"/>
    <row r="6838" s="96" customFormat="true" ht="13.5"/>
    <row r="6839" s="96" customFormat="true" ht="13.5"/>
    <row r="6840" s="96" customFormat="true" ht="13.5"/>
    <row r="6841" s="96" customFormat="true" ht="13.5"/>
    <row r="6842" s="96" customFormat="true" ht="13.5"/>
    <row r="6843" s="96" customFormat="true" ht="13.5"/>
    <row r="6844" s="96" customFormat="true" ht="13.5"/>
    <row r="6845" s="96" customFormat="true" ht="13.5"/>
    <row r="6846" s="96" customFormat="true" ht="13.5"/>
    <row r="6847" s="96" customFormat="true" ht="13.5"/>
    <row r="6848" s="96" customFormat="true" ht="13.5"/>
    <row r="6849" s="96" customFormat="true" ht="13.5"/>
    <row r="6850" s="96" customFormat="true" ht="13.5"/>
    <row r="6851" s="96" customFormat="true" ht="13.5"/>
    <row r="6852" s="96" customFormat="true" ht="13.5"/>
    <row r="6853" s="96" customFormat="true" ht="13.5"/>
    <row r="6854" s="96" customFormat="true" ht="13.5"/>
    <row r="6855" s="96" customFormat="true" ht="13.5"/>
    <row r="6856" s="96" customFormat="true" ht="13.5"/>
    <row r="6857" s="96" customFormat="true" ht="13.5"/>
    <row r="6858" s="96" customFormat="true" ht="13.5"/>
    <row r="6859" s="96" customFormat="true" ht="13.5"/>
    <row r="6860" s="96" customFormat="true" ht="13.5"/>
    <row r="6861" s="96" customFormat="true" ht="13.5"/>
    <row r="6862" s="96" customFormat="true" ht="13.5"/>
    <row r="6863" s="96" customFormat="true" ht="13.5"/>
    <row r="6864" s="96" customFormat="true" ht="13.5"/>
    <row r="6865" s="96" customFormat="true" ht="13.5"/>
    <row r="6866" s="96" customFormat="true" ht="13.5"/>
    <row r="6867" s="96" customFormat="true" ht="13.5"/>
    <row r="6868" s="96" customFormat="true" ht="13.5"/>
    <row r="6869" s="96" customFormat="true" ht="13.5"/>
    <row r="6870" s="96" customFormat="true" ht="13.5"/>
    <row r="6871" s="96" customFormat="true" ht="13.5"/>
    <row r="6872" s="96" customFormat="true" ht="13.5"/>
    <row r="6873" s="96" customFormat="true" ht="13.5"/>
    <row r="6874" s="96" customFormat="true" ht="13.5"/>
    <row r="6875" s="96" customFormat="true" ht="13.5"/>
    <row r="6876" s="96" customFormat="true" ht="13.5"/>
    <row r="6877" s="96" customFormat="true" ht="13.5"/>
    <row r="6878" s="96" customFormat="true" ht="13.5"/>
    <row r="6879" s="96" customFormat="true" ht="13.5"/>
    <row r="6880" s="96" customFormat="true" ht="13.5"/>
    <row r="6881" s="96" customFormat="true" ht="13.5"/>
    <row r="6882" s="96" customFormat="true" ht="13.5"/>
    <row r="6883" s="96" customFormat="true" ht="13.5"/>
    <row r="6884" s="96" customFormat="true" ht="13.5"/>
    <row r="6885" s="96" customFormat="true" ht="13.5"/>
    <row r="6886" s="96" customFormat="true" ht="13.5"/>
    <row r="6887" s="96" customFormat="true" ht="13.5"/>
    <row r="6888" s="96" customFormat="true" ht="13.5"/>
    <row r="6889" s="96" customFormat="true" ht="13.5"/>
    <row r="6890" s="96" customFormat="true" ht="13.5"/>
    <row r="6891" s="96" customFormat="true" ht="13.5"/>
    <row r="6892" s="96" customFormat="true" ht="13.5"/>
    <row r="6893" s="96" customFormat="true" ht="13.5"/>
    <row r="6894" s="96" customFormat="true" ht="13.5"/>
    <row r="6895" s="96" customFormat="true" ht="13.5"/>
    <row r="6896" s="96" customFormat="true" ht="13.5"/>
    <row r="6897" s="96" customFormat="true" ht="13.5"/>
    <row r="6898" s="96" customFormat="true" ht="13.5"/>
    <row r="6899" s="96" customFormat="true" ht="13.5"/>
    <row r="6900" s="96" customFormat="true" ht="13.5"/>
    <row r="6901" s="96" customFormat="true" ht="13.5"/>
    <row r="6902" s="96" customFormat="true" ht="13.5"/>
    <row r="6903" s="96" customFormat="true" ht="13.5"/>
    <row r="6904" s="96" customFormat="true" ht="13.5"/>
    <row r="6905" s="96" customFormat="true" ht="13.5"/>
    <row r="6906" s="96" customFormat="true" ht="13.5"/>
    <row r="6907" s="96" customFormat="true" ht="13.5"/>
    <row r="6908" s="96" customFormat="true" ht="13.5"/>
    <row r="6909" s="96" customFormat="true" ht="13.5"/>
    <row r="6910" s="96" customFormat="true" ht="13.5"/>
    <row r="6911" s="96" customFormat="true" ht="13.5"/>
    <row r="6912" s="96" customFormat="true" ht="13.5"/>
    <row r="6913" s="96" customFormat="true" ht="13.5"/>
    <row r="6914" s="96" customFormat="true" ht="13.5"/>
    <row r="6915" s="96" customFormat="true" ht="13.5"/>
    <row r="6916" s="96" customFormat="true" ht="13.5"/>
    <row r="6917" s="96" customFormat="true" ht="13.5"/>
    <row r="6918" s="96" customFormat="true" ht="13.5"/>
    <row r="6919" s="96" customFormat="true" ht="13.5"/>
    <row r="6920" s="96" customFormat="true" ht="13.5"/>
    <row r="6921" s="96" customFormat="true" ht="13.5"/>
    <row r="6922" s="96" customFormat="true" ht="13.5"/>
    <row r="6923" s="96" customFormat="true" ht="13.5"/>
    <row r="6924" s="96" customFormat="true" ht="13.5"/>
    <row r="6925" s="96" customFormat="true" ht="13.5"/>
    <row r="6926" s="96" customFormat="true" ht="13.5"/>
    <row r="6927" s="96" customFormat="true" ht="13.5"/>
    <row r="6928" s="96" customFormat="true" ht="13.5"/>
    <row r="6929" s="96" customFormat="true" ht="13.5"/>
    <row r="6930" s="96" customFormat="true" ht="13.5"/>
    <row r="6931" s="96" customFormat="true" ht="13.5"/>
    <row r="6932" s="96" customFormat="true" ht="13.5"/>
    <row r="6933" s="96" customFormat="true" ht="13.5"/>
    <row r="6934" s="96" customFormat="true" ht="13.5"/>
    <row r="6935" s="96" customFormat="true" ht="13.5"/>
    <row r="6936" s="96" customFormat="true" ht="13.5"/>
    <row r="6937" s="96" customFormat="true" ht="13.5"/>
    <row r="6938" s="96" customFormat="true" ht="13.5"/>
    <row r="6939" s="96" customFormat="true" ht="13.5"/>
    <row r="6940" s="96" customFormat="true" ht="13.5"/>
    <row r="6941" s="96" customFormat="true" ht="13.5"/>
    <row r="6942" s="96" customFormat="true" ht="13.5"/>
    <row r="6943" s="96" customFormat="true" ht="13.5"/>
    <row r="6944" s="96" customFormat="true" ht="13.5"/>
    <row r="6945" s="96" customFormat="true" ht="13.5"/>
    <row r="6946" s="96" customFormat="true" ht="13.5"/>
    <row r="6947" s="96" customFormat="true" ht="13.5"/>
    <row r="6948" s="96" customFormat="true" ht="13.5"/>
    <row r="6949" s="96" customFormat="true" ht="13.5"/>
    <row r="6950" s="96" customFormat="true" ht="13.5"/>
    <row r="6951" s="96" customFormat="true" ht="13.5"/>
    <row r="6952" s="96" customFormat="true" ht="13.5"/>
    <row r="6953" s="96" customFormat="true" ht="13.5"/>
    <row r="6954" s="96" customFormat="true" ht="13.5"/>
    <row r="6955" s="96" customFormat="true" ht="13.5"/>
    <row r="6956" s="96" customFormat="true" ht="13.5"/>
    <row r="6957" s="96" customFormat="true" ht="13.5"/>
    <row r="6958" s="96" customFormat="true" ht="13.5"/>
    <row r="6959" s="96" customFormat="true" ht="13.5"/>
    <row r="6960" s="96" customFormat="true" ht="13.5"/>
    <row r="6961" s="96" customFormat="true" ht="13.5"/>
    <row r="6962" s="96" customFormat="true" ht="13.5"/>
    <row r="6963" s="96" customFormat="true" ht="13.5"/>
    <row r="6964" s="96" customFormat="true" ht="13.5"/>
    <row r="6965" s="96" customFormat="true" ht="13.5"/>
    <row r="6966" s="96" customFormat="true" ht="13.5"/>
    <row r="6967" s="96" customFormat="true" ht="13.5"/>
    <row r="6968" s="96" customFormat="true" ht="13.5"/>
    <row r="6969" s="96" customFormat="true" ht="13.5"/>
    <row r="6970" s="96" customFormat="true" ht="13.5"/>
    <row r="6971" s="96" customFormat="true" ht="13.5"/>
    <row r="6972" s="96" customFormat="true" ht="13.5"/>
    <row r="6973" s="96" customFormat="true" ht="13.5"/>
    <row r="6974" s="96" customFormat="true" ht="13.5"/>
    <row r="6975" s="96" customFormat="true" ht="13.5"/>
    <row r="6976" s="96" customFormat="true" ht="13.5"/>
    <row r="6977" s="96" customFormat="true" ht="13.5"/>
    <row r="6978" s="96" customFormat="true" ht="13.5"/>
    <row r="6979" s="96" customFormat="true" ht="13.5"/>
    <row r="6980" s="96" customFormat="true" ht="13.5"/>
    <row r="6981" s="96" customFormat="true" ht="13.5"/>
    <row r="6982" s="96" customFormat="true" ht="13.5"/>
    <row r="6983" s="96" customFormat="true" ht="13.5"/>
    <row r="6984" s="96" customFormat="true" ht="13.5"/>
    <row r="6985" s="96" customFormat="true" ht="13.5"/>
    <row r="6986" s="96" customFormat="true" ht="13.5"/>
    <row r="6987" s="96" customFormat="true" ht="13.5"/>
    <row r="6988" s="96" customFormat="true" ht="13.5"/>
    <row r="6989" s="96" customFormat="true" ht="13.5"/>
    <row r="6990" s="96" customFormat="true" ht="13.5"/>
    <row r="6991" s="96" customFormat="true" ht="13.5"/>
    <row r="6992" s="96" customFormat="true" ht="13.5"/>
    <row r="6993" s="96" customFormat="true" ht="13.5"/>
    <row r="6994" s="96" customFormat="true" ht="13.5"/>
    <row r="6995" s="96" customFormat="true" ht="13.5"/>
    <row r="6996" s="96" customFormat="true" ht="13.5"/>
    <row r="6997" s="96" customFormat="true" ht="13.5"/>
    <row r="6998" s="96" customFormat="true" ht="13.5"/>
    <row r="6999" s="96" customFormat="true" ht="13.5"/>
    <row r="7000" s="96" customFormat="true" ht="13.5"/>
    <row r="7001" s="96" customFormat="true" ht="13.5"/>
    <row r="7002" s="96" customFormat="true" ht="13.5"/>
    <row r="7003" s="96" customFormat="true" ht="13.5"/>
    <row r="7004" s="96" customFormat="true" ht="13.5"/>
    <row r="7005" s="96" customFormat="true" ht="13.5"/>
    <row r="7006" s="96" customFormat="true" ht="13.5"/>
    <row r="7007" s="96" customFormat="true" ht="13.5"/>
    <row r="7008" s="96" customFormat="true" ht="13.5"/>
    <row r="7009" s="96" customFormat="true" ht="13.5"/>
    <row r="7010" s="96" customFormat="true" ht="13.5"/>
    <row r="7011" s="96" customFormat="true" ht="13.5"/>
    <row r="7012" s="96" customFormat="true" ht="13.5"/>
    <row r="7013" s="96" customFormat="true" ht="13.5"/>
    <row r="7014" s="96" customFormat="true" ht="13.5"/>
    <row r="7015" s="96" customFormat="true" ht="13.5"/>
    <row r="7016" s="96" customFormat="true" ht="13.5"/>
    <row r="7017" s="96" customFormat="true" ht="13.5"/>
    <row r="7018" s="96" customFormat="true" ht="13.5"/>
    <row r="7019" s="96" customFormat="true" ht="13.5"/>
    <row r="7020" s="96" customFormat="true" ht="13.5"/>
    <row r="7021" s="96" customFormat="true" ht="13.5"/>
    <row r="7022" s="96" customFormat="true" ht="13.5"/>
    <row r="7023" s="96" customFormat="true" ht="13.5"/>
    <row r="7024" s="96" customFormat="true" ht="13.5"/>
    <row r="7025" s="96" customFormat="true" ht="13.5"/>
    <row r="7026" s="96" customFormat="true" ht="13.5"/>
    <row r="7027" s="96" customFormat="true" ht="13.5"/>
    <row r="7028" s="96" customFormat="true" ht="13.5"/>
    <row r="7029" s="96" customFormat="true" ht="13.5"/>
    <row r="7030" s="96" customFormat="true" ht="13.5"/>
    <row r="7031" s="96" customFormat="true" ht="13.5"/>
    <row r="7032" s="96" customFormat="true" ht="13.5"/>
    <row r="7033" s="96" customFormat="true" ht="13.5"/>
    <row r="7034" s="96" customFormat="true" ht="13.5"/>
    <row r="7035" s="96" customFormat="true" ht="13.5"/>
    <row r="7036" s="96" customFormat="true" ht="13.5"/>
    <row r="7037" s="96" customFormat="true" ht="13.5"/>
    <row r="7038" s="96" customFormat="true" ht="13.5"/>
    <row r="7039" s="96" customFormat="true" ht="13.5"/>
    <row r="7040" s="96" customFormat="true" ht="13.5"/>
    <row r="7041" s="96" customFormat="true" ht="13.5"/>
    <row r="7042" s="96" customFormat="true" ht="13.5"/>
    <row r="7043" s="96" customFormat="true" ht="13.5"/>
    <row r="7044" s="96" customFormat="true" ht="13.5"/>
    <row r="7045" s="96" customFormat="true" ht="13.5"/>
    <row r="7046" s="96" customFormat="true" ht="13.5"/>
    <row r="7047" s="96" customFormat="true" ht="13.5"/>
    <row r="7048" s="96" customFormat="true" ht="13.5"/>
    <row r="7049" s="96" customFormat="true" ht="13.5"/>
    <row r="7050" s="96" customFormat="true" ht="13.5"/>
    <row r="7051" s="96" customFormat="true" ht="13.5"/>
    <row r="7052" s="96" customFormat="true" ht="13.5"/>
    <row r="7053" s="96" customFormat="true" ht="13.5"/>
    <row r="7054" s="96" customFormat="true" ht="13.5"/>
    <row r="7055" s="96" customFormat="true" ht="13.5"/>
    <row r="7056" s="96" customFormat="true" ht="13.5"/>
    <row r="7057" s="96" customFormat="true" ht="13.5"/>
    <row r="7058" s="96" customFormat="true" ht="13.5"/>
    <row r="7059" s="96" customFormat="true" ht="13.5"/>
    <row r="7060" s="96" customFormat="true" ht="13.5"/>
    <row r="7061" s="96" customFormat="true" ht="13.5"/>
    <row r="7062" s="96" customFormat="true" ht="13.5"/>
    <row r="7063" s="96" customFormat="true" ht="13.5"/>
    <row r="7064" s="96" customFormat="true" ht="13.5"/>
    <row r="7065" s="96" customFormat="true" ht="13.5"/>
    <row r="7066" s="96" customFormat="true" ht="13.5"/>
    <row r="7067" s="96" customFormat="true" ht="13.5"/>
    <row r="7068" s="96" customFormat="true" ht="13.5"/>
    <row r="7069" s="96" customFormat="true" ht="13.5"/>
    <row r="7070" s="96" customFormat="true" ht="13.5"/>
    <row r="7071" s="96" customFormat="true" ht="13.5"/>
    <row r="7072" s="96" customFormat="true" ht="13.5"/>
    <row r="7073" s="96" customFormat="true" ht="13.5"/>
    <row r="7074" s="96" customFormat="true" ht="13.5"/>
    <row r="7075" s="96" customFormat="true" ht="13.5"/>
    <row r="7076" s="96" customFormat="true" ht="13.5"/>
    <row r="7077" s="96" customFormat="true" ht="13.5"/>
    <row r="7078" s="96" customFormat="true" ht="13.5"/>
    <row r="7079" s="96" customFormat="true" ht="13.5"/>
    <row r="7080" s="96" customFormat="true" ht="13.5"/>
    <row r="7081" s="96" customFormat="true" ht="13.5"/>
    <row r="7082" s="96" customFormat="true" ht="13.5"/>
    <row r="7083" s="96" customFormat="true" ht="13.5"/>
    <row r="7084" s="96" customFormat="true" ht="13.5"/>
    <row r="7085" s="96" customFormat="true" ht="13.5"/>
    <row r="7086" s="96" customFormat="true" ht="13.5"/>
    <row r="7087" s="96" customFormat="true" ht="13.5"/>
    <row r="7088" s="96" customFormat="true" ht="13.5"/>
    <row r="7089" s="96" customFormat="true" ht="13.5"/>
    <row r="7090" s="96" customFormat="true" ht="13.5"/>
    <row r="7091" s="96" customFormat="true" ht="13.5"/>
    <row r="7092" s="96" customFormat="true" ht="13.5"/>
    <row r="7093" s="96" customFormat="true" ht="13.5"/>
    <row r="7094" s="96" customFormat="true" ht="13.5"/>
    <row r="7095" s="96" customFormat="true" ht="13.5"/>
    <row r="7096" s="96" customFormat="true" ht="13.5"/>
    <row r="7097" s="96" customFormat="true" ht="13.5"/>
    <row r="7098" s="96" customFormat="true" ht="13.5"/>
    <row r="7099" s="96" customFormat="true" ht="13.5"/>
    <row r="7100" s="96" customFormat="true" ht="13.5"/>
    <row r="7101" s="96" customFormat="true" ht="13.5"/>
    <row r="7102" s="96" customFormat="true" ht="13.5"/>
    <row r="7103" s="96" customFormat="true" ht="13.5"/>
    <row r="7104" s="96" customFormat="true" ht="13.5"/>
    <row r="7105" s="96" customFormat="true" ht="13.5"/>
    <row r="7106" s="96" customFormat="true" ht="13.5"/>
    <row r="7107" s="96" customFormat="true" ht="13.5"/>
    <row r="7108" s="96" customFormat="true" ht="13.5"/>
    <row r="7109" s="96" customFormat="true" ht="13.5"/>
    <row r="7110" s="96" customFormat="true" ht="13.5"/>
    <row r="7111" s="96" customFormat="true" ht="13.5"/>
    <row r="7112" s="96" customFormat="true" ht="13.5"/>
    <row r="7113" s="96" customFormat="true" ht="13.5"/>
    <row r="7114" s="96" customFormat="true" ht="13.5"/>
    <row r="7115" s="96" customFormat="true" ht="13.5"/>
    <row r="7116" s="96" customFormat="true" ht="13.5"/>
    <row r="7117" s="96" customFormat="true" ht="13.5"/>
    <row r="7118" s="96" customFormat="true" ht="13.5"/>
    <row r="7119" s="96" customFormat="true" ht="13.5"/>
    <row r="7120" s="96" customFormat="true" ht="13.5"/>
    <row r="7121" s="96" customFormat="true" ht="13.5"/>
    <row r="7122" s="96" customFormat="true" ht="13.5"/>
    <row r="7123" s="96" customFormat="true" ht="13.5"/>
    <row r="7124" s="96" customFormat="true" ht="13.5"/>
    <row r="7125" s="96" customFormat="true" ht="13.5"/>
    <row r="7126" s="96" customFormat="true" ht="13.5"/>
    <row r="7127" s="96" customFormat="true" ht="13.5"/>
    <row r="7128" s="96" customFormat="true" ht="13.5"/>
    <row r="7129" s="96" customFormat="true" ht="13.5"/>
    <row r="7130" s="96" customFormat="true" ht="13.5"/>
    <row r="7131" s="96" customFormat="true" ht="13.5"/>
    <row r="7132" s="96" customFormat="true" ht="13.5"/>
    <row r="7133" s="96" customFormat="true" ht="13.5"/>
    <row r="7134" s="96" customFormat="true" ht="13.5"/>
    <row r="7135" s="96" customFormat="true" ht="13.5"/>
    <row r="7136" s="96" customFormat="true" ht="13.5"/>
    <row r="7137" s="96" customFormat="true" ht="13.5"/>
    <row r="7138" s="96" customFormat="true" ht="13.5"/>
    <row r="7139" s="96" customFormat="true" ht="13.5"/>
    <row r="7140" s="96" customFormat="true" ht="13.5"/>
    <row r="7141" s="96" customFormat="true" ht="13.5"/>
    <row r="7142" s="96" customFormat="true" ht="13.5"/>
    <row r="7143" s="96" customFormat="true" ht="13.5"/>
    <row r="7144" s="96" customFormat="true" ht="13.5"/>
    <row r="7145" s="96" customFormat="true" ht="13.5"/>
    <row r="7146" s="96" customFormat="true" ht="13.5"/>
    <row r="7147" s="96" customFormat="true" ht="13.5"/>
    <row r="7148" s="96" customFormat="true" ht="13.5"/>
    <row r="7149" s="96" customFormat="true" ht="13.5"/>
    <row r="7150" s="96" customFormat="true" ht="13.5"/>
    <row r="7151" s="96" customFormat="true" ht="13.5"/>
    <row r="7152" s="96" customFormat="true" ht="13.5"/>
    <row r="7153" s="96" customFormat="true" ht="13.5"/>
    <row r="7154" s="96" customFormat="true" ht="13.5"/>
    <row r="7155" s="96" customFormat="true" ht="13.5"/>
    <row r="7156" s="96" customFormat="true" ht="13.5"/>
    <row r="7157" s="96" customFormat="true" ht="13.5"/>
    <row r="7158" s="96" customFormat="true" ht="13.5"/>
    <row r="7159" s="96" customFormat="true" ht="13.5"/>
    <row r="7160" s="96" customFormat="true" ht="13.5"/>
    <row r="7161" s="96" customFormat="true" ht="13.5"/>
    <row r="7162" s="96" customFormat="true" ht="13.5"/>
    <row r="7163" s="96" customFormat="true" ht="13.5"/>
    <row r="7164" s="96" customFormat="true" ht="13.5"/>
    <row r="7165" s="96" customFormat="true" ht="13.5"/>
    <row r="7166" s="96" customFormat="true" ht="13.5"/>
    <row r="7167" s="96" customFormat="true" ht="13.5"/>
    <row r="7168" s="96" customFormat="true" ht="13.5"/>
    <row r="7169" s="96" customFormat="true" ht="13.5"/>
    <row r="7170" s="96" customFormat="true" ht="13.5"/>
    <row r="7171" s="96" customFormat="true" ht="13.5"/>
    <row r="7172" s="96" customFormat="true" ht="13.5"/>
    <row r="7173" s="96" customFormat="true" ht="13.5"/>
    <row r="7174" s="96" customFormat="true" ht="13.5"/>
    <row r="7175" s="96" customFormat="true" ht="13.5"/>
    <row r="7176" s="96" customFormat="true" ht="13.5"/>
    <row r="7177" s="96" customFormat="true" ht="13.5"/>
    <row r="7178" s="96" customFormat="true" ht="13.5"/>
    <row r="7179" s="96" customFormat="true" ht="13.5"/>
    <row r="7180" s="96" customFormat="true" ht="13.5"/>
    <row r="7181" s="96" customFormat="true" ht="13.5"/>
    <row r="7182" s="96" customFormat="true" ht="13.5"/>
    <row r="7183" s="96" customFormat="true" ht="13.5"/>
    <row r="7184" s="96" customFormat="true" ht="13.5"/>
    <row r="7185" s="96" customFormat="true" ht="13.5"/>
    <row r="7186" s="96" customFormat="true" ht="13.5"/>
    <row r="7187" s="96" customFormat="true" ht="13.5"/>
    <row r="7188" s="96" customFormat="true" ht="13.5"/>
    <row r="7189" s="96" customFormat="true" ht="13.5"/>
    <row r="7190" s="96" customFormat="true" ht="13.5"/>
    <row r="7191" s="96" customFormat="true" ht="13.5"/>
    <row r="7192" s="96" customFormat="true" ht="13.5"/>
    <row r="7193" s="96" customFormat="true" ht="13.5"/>
    <row r="7194" s="96" customFormat="true" ht="13.5"/>
    <row r="7195" s="96" customFormat="true" ht="13.5"/>
    <row r="7196" s="96" customFormat="true" ht="13.5"/>
    <row r="7197" s="96" customFormat="true" ht="13.5"/>
    <row r="7198" s="96" customFormat="true" ht="13.5"/>
    <row r="7199" s="96" customFormat="true" ht="13.5"/>
    <row r="7200" s="96" customFormat="true" ht="13.5"/>
    <row r="7201" s="96" customFormat="true" ht="13.5"/>
    <row r="7202" s="96" customFormat="true" ht="13.5"/>
    <row r="7203" s="96" customFormat="true" ht="13.5"/>
    <row r="7204" s="96" customFormat="true" ht="13.5"/>
    <row r="7205" s="96" customFormat="true" ht="13.5"/>
    <row r="7206" s="96" customFormat="true" ht="13.5"/>
    <row r="7207" s="96" customFormat="true" ht="13.5"/>
    <row r="7208" s="96" customFormat="true" ht="13.5"/>
    <row r="7209" s="96" customFormat="true" ht="13.5"/>
    <row r="7210" s="96" customFormat="true" ht="13.5"/>
    <row r="7211" s="96" customFormat="true" ht="13.5"/>
    <row r="7212" s="96" customFormat="true" ht="13.5"/>
    <row r="7213" s="96" customFormat="true" ht="13.5"/>
    <row r="7214" s="96" customFormat="true" ht="13.5"/>
    <row r="7215" s="96" customFormat="true" ht="13.5"/>
    <row r="7216" s="96" customFormat="true" ht="13.5"/>
    <row r="7217" s="96" customFormat="true" ht="13.5"/>
    <row r="7218" s="96" customFormat="true" ht="13.5"/>
    <row r="7219" s="96" customFormat="true" ht="13.5"/>
    <row r="7220" s="96" customFormat="true" ht="13.5"/>
    <row r="7221" s="96" customFormat="true" ht="13.5"/>
    <row r="7222" s="96" customFormat="true" ht="13.5"/>
    <row r="7223" s="96" customFormat="true" ht="13.5"/>
    <row r="7224" s="96" customFormat="true" ht="13.5"/>
    <row r="7225" s="96" customFormat="true" ht="13.5"/>
    <row r="7226" s="96" customFormat="true" ht="13.5"/>
    <row r="7227" s="96" customFormat="true" ht="13.5"/>
    <row r="7228" s="96" customFormat="true" ht="13.5"/>
    <row r="7229" s="96" customFormat="true" ht="13.5"/>
    <row r="7230" s="96" customFormat="true" ht="13.5"/>
    <row r="7231" s="96" customFormat="true" ht="13.5"/>
    <row r="7232" s="96" customFormat="true" ht="13.5"/>
    <row r="7233" s="96" customFormat="true" ht="13.5"/>
    <row r="7234" s="96" customFormat="true" ht="13.5"/>
    <row r="7235" s="96" customFormat="true" ht="13.5"/>
    <row r="7236" s="96" customFormat="true" ht="13.5"/>
    <row r="7237" s="96" customFormat="true" ht="13.5"/>
    <row r="7238" s="96" customFormat="true" ht="13.5"/>
    <row r="7239" s="96" customFormat="true" ht="13.5"/>
    <row r="7240" s="96" customFormat="true" ht="13.5"/>
    <row r="7241" s="96" customFormat="true" ht="13.5"/>
    <row r="7242" s="96" customFormat="true" ht="13.5"/>
    <row r="7243" s="96" customFormat="true" ht="13.5"/>
    <row r="7244" s="96" customFormat="true" ht="13.5"/>
    <row r="7245" s="96" customFormat="true" ht="13.5"/>
    <row r="7246" s="96" customFormat="true" ht="13.5"/>
    <row r="7247" s="96" customFormat="true" ht="13.5"/>
    <row r="7248" s="96" customFormat="true" ht="13.5"/>
    <row r="7249" s="96" customFormat="true" ht="13.5"/>
    <row r="7250" s="96" customFormat="true" ht="13.5"/>
    <row r="7251" s="96" customFormat="true" ht="13.5"/>
    <row r="7252" s="96" customFormat="true" ht="13.5"/>
    <row r="7253" s="96" customFormat="true" ht="13.5"/>
    <row r="7254" s="96" customFormat="true" ht="13.5"/>
    <row r="7255" s="96" customFormat="true" ht="13.5"/>
    <row r="7256" s="96" customFormat="true" ht="13.5"/>
    <row r="7257" s="96" customFormat="true" ht="13.5"/>
    <row r="7258" s="96" customFormat="true" ht="13.5"/>
    <row r="7259" s="96" customFormat="true" ht="13.5"/>
    <row r="7260" s="96" customFormat="true" ht="13.5"/>
    <row r="7261" s="96" customFormat="true" ht="13.5"/>
    <row r="7262" s="96" customFormat="true" ht="13.5"/>
    <row r="7263" s="96" customFormat="true" ht="13.5"/>
    <row r="7264" s="96" customFormat="true" ht="13.5"/>
    <row r="7265" s="96" customFormat="true" ht="13.5"/>
    <row r="7266" s="96" customFormat="true" ht="13.5"/>
    <row r="7267" s="96" customFormat="true" ht="13.5"/>
    <row r="7268" s="96" customFormat="true" ht="13.5"/>
    <row r="7269" s="96" customFormat="true" ht="13.5"/>
    <row r="7270" s="96" customFormat="true" ht="13.5"/>
    <row r="7271" s="96" customFormat="true" ht="13.5"/>
    <row r="7272" s="96" customFormat="true" ht="13.5"/>
    <row r="7273" s="96" customFormat="true" ht="13.5"/>
    <row r="7274" s="96" customFormat="true" ht="13.5"/>
    <row r="7275" s="96" customFormat="true" ht="13.5"/>
    <row r="7276" s="96" customFormat="true" ht="13.5"/>
    <row r="7277" s="96" customFormat="true" ht="13.5"/>
    <row r="7278" s="96" customFormat="true" ht="13.5"/>
    <row r="7279" s="96" customFormat="true" ht="13.5"/>
    <row r="7280" s="96" customFormat="true" ht="13.5"/>
    <row r="7281" s="96" customFormat="true" ht="13.5"/>
    <row r="7282" s="96" customFormat="true" ht="13.5"/>
    <row r="7283" s="96" customFormat="true" ht="13.5"/>
    <row r="7284" s="96" customFormat="true" ht="13.5"/>
    <row r="7285" s="96" customFormat="true" ht="13.5"/>
    <row r="7286" s="96" customFormat="true" ht="13.5"/>
    <row r="7287" s="96" customFormat="true" ht="13.5"/>
    <row r="7288" s="96" customFormat="true" ht="13.5"/>
    <row r="7289" s="96" customFormat="true" ht="13.5"/>
    <row r="7290" s="96" customFormat="true" ht="13.5"/>
    <row r="7291" s="96" customFormat="true" ht="13.5"/>
    <row r="7292" s="96" customFormat="true" ht="13.5"/>
    <row r="7293" s="96" customFormat="true" ht="13.5"/>
    <row r="7294" s="96" customFormat="true" ht="13.5"/>
    <row r="7295" s="96" customFormat="true" ht="13.5"/>
    <row r="7296" s="96" customFormat="true" ht="13.5"/>
    <row r="7297" s="96" customFormat="true" ht="13.5"/>
    <row r="7298" s="96" customFormat="true" ht="13.5"/>
    <row r="7299" s="96" customFormat="true" ht="13.5"/>
    <row r="7300" s="96" customFormat="true" ht="13.5"/>
    <row r="7301" s="96" customFormat="true" ht="13.5"/>
    <row r="7302" s="96" customFormat="true" ht="13.5"/>
    <row r="7303" s="96" customFormat="true" ht="13.5"/>
    <row r="7304" s="96" customFormat="true" ht="13.5"/>
    <row r="7305" s="96" customFormat="true" ht="13.5"/>
    <row r="7306" s="96" customFormat="true" ht="13.5"/>
    <row r="7307" s="96" customFormat="true" ht="13.5"/>
    <row r="7308" s="96" customFormat="true" ht="13.5"/>
    <row r="7309" s="96" customFormat="true" ht="13.5"/>
    <row r="7310" s="96" customFormat="true" ht="13.5"/>
    <row r="7311" s="96" customFormat="true" ht="13.5"/>
    <row r="7312" s="96" customFormat="true" ht="13.5"/>
    <row r="7313" s="96" customFormat="true" ht="13.5"/>
    <row r="7314" s="96" customFormat="true" ht="13.5"/>
    <row r="7315" s="96" customFormat="true" ht="13.5"/>
    <row r="7316" s="96" customFormat="true" ht="13.5"/>
    <row r="7317" s="96" customFormat="true" ht="13.5"/>
    <row r="7318" s="96" customFormat="true" ht="13.5"/>
    <row r="7319" s="96" customFormat="true" ht="13.5"/>
    <row r="7320" s="96" customFormat="true" ht="13.5"/>
    <row r="7321" s="96" customFormat="true" ht="13.5"/>
    <row r="7322" s="96" customFormat="true" ht="13.5"/>
    <row r="7323" s="96" customFormat="true" ht="13.5"/>
    <row r="7324" s="96" customFormat="true" ht="13.5"/>
    <row r="7325" s="96" customFormat="true" ht="13.5"/>
    <row r="7326" s="96" customFormat="true" ht="13.5"/>
    <row r="7327" s="96" customFormat="true" ht="13.5"/>
    <row r="7328" s="96" customFormat="true" ht="13.5"/>
    <row r="7329" s="96" customFormat="true" ht="13.5"/>
    <row r="7330" s="96" customFormat="true" ht="13.5"/>
    <row r="7331" s="96" customFormat="true" ht="13.5"/>
    <row r="7332" s="96" customFormat="true" ht="13.5"/>
    <row r="7333" s="96" customFormat="true" ht="13.5"/>
    <row r="7334" s="96" customFormat="true" ht="13.5"/>
    <row r="7335" s="96" customFormat="true" ht="13.5"/>
    <row r="7336" s="96" customFormat="true" ht="13.5"/>
    <row r="7337" s="96" customFormat="true" ht="13.5"/>
    <row r="7338" s="96" customFormat="true" ht="13.5"/>
    <row r="7339" s="96" customFormat="true" ht="13.5"/>
    <row r="7340" s="96" customFormat="true" ht="13.5"/>
    <row r="7341" s="96" customFormat="true" ht="13.5"/>
    <row r="7342" s="96" customFormat="true" ht="13.5"/>
    <row r="7343" s="96" customFormat="true" ht="13.5"/>
    <row r="7344" s="96" customFormat="true" ht="13.5"/>
    <row r="7345" s="96" customFormat="true" ht="13.5"/>
    <row r="7346" s="96" customFormat="true" ht="13.5"/>
    <row r="7347" s="96" customFormat="true" ht="13.5"/>
    <row r="7348" s="96" customFormat="true" ht="13.5"/>
    <row r="7349" s="96" customFormat="true" ht="13.5"/>
    <row r="7350" s="96" customFormat="true" ht="13.5"/>
    <row r="7351" s="96" customFormat="true" ht="13.5"/>
    <row r="7352" s="96" customFormat="true" ht="13.5"/>
    <row r="7353" s="96" customFormat="true" ht="13.5"/>
    <row r="7354" s="96" customFormat="true" ht="13.5"/>
    <row r="7355" s="96" customFormat="true" ht="13.5"/>
    <row r="7356" s="96" customFormat="true" ht="13.5"/>
    <row r="7357" s="96" customFormat="true" ht="13.5"/>
    <row r="7358" s="96" customFormat="true" ht="13.5"/>
    <row r="7359" s="96" customFormat="true" ht="13.5"/>
    <row r="7360" s="96" customFormat="true" ht="13.5"/>
    <row r="7361" s="96" customFormat="true" ht="13.5"/>
    <row r="7362" s="96" customFormat="true" ht="13.5"/>
    <row r="7363" s="96" customFormat="true" ht="13.5"/>
    <row r="7364" s="96" customFormat="true" ht="13.5"/>
    <row r="7365" s="96" customFormat="true" ht="13.5"/>
    <row r="7366" s="96" customFormat="true" ht="13.5"/>
    <row r="7367" s="96" customFormat="true" ht="13.5"/>
    <row r="7368" s="96" customFormat="true" ht="13.5"/>
    <row r="7369" s="96" customFormat="true" ht="13.5"/>
    <row r="7370" s="96" customFormat="true" ht="13.5"/>
    <row r="7371" s="96" customFormat="true" ht="13.5"/>
    <row r="7372" s="96" customFormat="true" ht="13.5"/>
    <row r="7373" s="96" customFormat="true" ht="13.5"/>
    <row r="7374" s="96" customFormat="true" ht="13.5"/>
    <row r="7375" s="96" customFormat="true" ht="13.5"/>
    <row r="7376" s="96" customFormat="true" ht="13.5"/>
    <row r="7377" s="96" customFormat="true" ht="13.5"/>
    <row r="7378" s="96" customFormat="true" ht="13.5"/>
    <row r="7379" s="96" customFormat="true" ht="13.5"/>
    <row r="7380" s="96" customFormat="true" ht="13.5"/>
    <row r="7381" s="96" customFormat="true" ht="13.5"/>
    <row r="7382" s="96" customFormat="true" ht="13.5"/>
    <row r="7383" s="96" customFormat="true" ht="13.5"/>
    <row r="7384" s="96" customFormat="true" ht="13.5"/>
    <row r="7385" s="96" customFormat="true" ht="13.5"/>
    <row r="7386" s="96" customFormat="true" ht="13.5"/>
    <row r="7387" s="96" customFormat="true" ht="13.5"/>
    <row r="7388" s="96" customFormat="true" ht="13.5"/>
    <row r="7389" s="96" customFormat="true" ht="13.5"/>
    <row r="7390" s="96" customFormat="true" ht="13.5"/>
    <row r="7391" s="96" customFormat="true" ht="13.5"/>
    <row r="7392" s="96" customFormat="true" ht="13.5"/>
    <row r="7393" s="96" customFormat="true" ht="13.5"/>
    <row r="7394" s="96" customFormat="true" ht="13.5"/>
    <row r="7395" s="96" customFormat="true" ht="13.5"/>
    <row r="7396" s="96" customFormat="true" ht="13.5"/>
    <row r="7397" s="96" customFormat="true" ht="13.5"/>
    <row r="7398" s="96" customFormat="true" ht="13.5"/>
    <row r="7399" s="96" customFormat="true" ht="13.5"/>
    <row r="7400" s="96" customFormat="true" ht="13.5"/>
    <row r="7401" s="96" customFormat="true" ht="13.5"/>
    <row r="7402" s="96" customFormat="true" ht="13.5"/>
    <row r="7403" s="96" customFormat="true" ht="13.5"/>
    <row r="7404" s="96" customFormat="true" ht="13.5"/>
    <row r="7405" s="96" customFormat="true" ht="13.5"/>
    <row r="7406" s="96" customFormat="true" ht="13.5"/>
    <row r="7407" s="96" customFormat="true" ht="13.5"/>
    <row r="7408" s="96" customFormat="true" ht="13.5"/>
    <row r="7409" s="96" customFormat="true" ht="13.5"/>
    <row r="7410" s="96" customFormat="true" ht="13.5"/>
    <row r="7411" s="96" customFormat="true" ht="13.5"/>
    <row r="7412" s="96" customFormat="true" ht="13.5"/>
    <row r="7413" s="96" customFormat="true" ht="13.5"/>
    <row r="7414" s="96" customFormat="true" ht="13.5"/>
    <row r="7415" s="96" customFormat="true" ht="13.5"/>
    <row r="7416" s="96" customFormat="true" ht="13.5"/>
    <row r="7417" s="96" customFormat="true" ht="13.5"/>
    <row r="7418" s="96" customFormat="true" ht="13.5"/>
    <row r="7419" s="96" customFormat="true" ht="13.5"/>
    <row r="7420" s="96" customFormat="true" ht="13.5"/>
    <row r="7421" s="96" customFormat="true" ht="13.5"/>
    <row r="7422" s="96" customFormat="true" ht="13.5"/>
    <row r="7423" s="96" customFormat="true" ht="13.5"/>
    <row r="7424" s="96" customFormat="true" ht="13.5"/>
    <row r="7425" s="96" customFormat="true" ht="13.5"/>
    <row r="7426" s="96" customFormat="true" ht="13.5"/>
    <row r="7427" s="96" customFormat="true" ht="13.5"/>
    <row r="7428" s="96" customFormat="true" ht="13.5"/>
    <row r="7429" s="96" customFormat="true" ht="13.5"/>
    <row r="7430" s="96" customFormat="true" ht="13.5"/>
    <row r="7431" s="96" customFormat="true" ht="13.5"/>
    <row r="7432" s="96" customFormat="true" ht="13.5"/>
    <row r="7433" s="96" customFormat="true" ht="13.5"/>
    <row r="7434" s="96" customFormat="true" ht="13.5"/>
    <row r="7435" s="96" customFormat="true" ht="13.5"/>
    <row r="7436" s="96" customFormat="true" ht="13.5"/>
    <row r="7437" s="96" customFormat="true" ht="13.5"/>
    <row r="7438" s="96" customFormat="true" ht="13.5"/>
    <row r="7439" s="96" customFormat="true" ht="13.5"/>
    <row r="7440" s="96" customFormat="true" ht="13.5"/>
    <row r="7441" s="96" customFormat="true" ht="13.5"/>
    <row r="7442" s="96" customFormat="true" ht="13.5"/>
    <row r="7443" s="96" customFormat="true" ht="13.5"/>
    <row r="7444" s="96" customFormat="true" ht="13.5"/>
    <row r="7445" s="96" customFormat="true" ht="13.5"/>
    <row r="7446" s="96" customFormat="true" ht="13.5"/>
    <row r="7447" s="96" customFormat="true" ht="13.5"/>
    <row r="7448" s="96" customFormat="true" ht="13.5"/>
    <row r="7449" s="96" customFormat="true" ht="13.5"/>
    <row r="7450" s="96" customFormat="true" ht="13.5"/>
    <row r="7451" s="96" customFormat="true" ht="13.5"/>
    <row r="7452" s="96" customFormat="true" ht="13.5"/>
    <row r="7453" s="96" customFormat="true" ht="13.5"/>
    <row r="7454" s="96" customFormat="true" ht="13.5"/>
    <row r="7455" s="96" customFormat="true" ht="13.5"/>
    <row r="7456" s="96" customFormat="true" ht="13.5"/>
    <row r="7457" s="96" customFormat="true" ht="13.5"/>
    <row r="7458" s="96" customFormat="true" ht="13.5"/>
    <row r="7459" s="96" customFormat="true" ht="13.5"/>
    <row r="7460" s="96" customFormat="true" ht="13.5"/>
    <row r="7461" s="96" customFormat="true" ht="13.5"/>
    <row r="7462" s="96" customFormat="true" ht="13.5"/>
    <row r="7463" s="96" customFormat="true" ht="13.5"/>
    <row r="7464" s="96" customFormat="true" ht="13.5"/>
    <row r="7465" s="96" customFormat="true" ht="13.5"/>
    <row r="7466" s="96" customFormat="true" ht="13.5"/>
    <row r="7467" s="96" customFormat="true" ht="13.5"/>
    <row r="7468" s="96" customFormat="true" ht="13.5"/>
    <row r="7469" s="96" customFormat="true" ht="13.5"/>
    <row r="7470" s="96" customFormat="true" ht="13.5"/>
    <row r="7471" s="96" customFormat="true" ht="13.5"/>
    <row r="7472" s="96" customFormat="true" ht="13.5"/>
    <row r="7473" s="96" customFormat="true" ht="13.5"/>
    <row r="7474" s="96" customFormat="true" ht="13.5"/>
    <row r="7475" s="96" customFormat="true" ht="13.5"/>
    <row r="7476" s="96" customFormat="true" ht="13.5"/>
    <row r="7477" s="96" customFormat="true" ht="13.5"/>
    <row r="7478" s="96" customFormat="true" ht="13.5"/>
    <row r="7479" s="96" customFormat="true" ht="13.5"/>
    <row r="7480" s="96" customFormat="true" ht="13.5"/>
    <row r="7481" s="96" customFormat="true" ht="13.5"/>
    <row r="7482" s="96" customFormat="true" ht="13.5"/>
    <row r="7483" s="96" customFormat="true" ht="13.5"/>
    <row r="7484" s="96" customFormat="true" ht="13.5"/>
    <row r="7485" s="96" customFormat="true" ht="13.5"/>
    <row r="7486" s="96" customFormat="true" ht="13.5"/>
    <row r="7487" s="96" customFormat="true" ht="13.5"/>
    <row r="7488" s="96" customFormat="true" ht="13.5"/>
    <row r="7489" s="96" customFormat="true" ht="13.5"/>
    <row r="7490" s="96" customFormat="true" ht="13.5"/>
    <row r="7491" s="96" customFormat="true" ht="13.5"/>
    <row r="7492" s="96" customFormat="true" ht="13.5"/>
    <row r="7493" s="96" customFormat="true" ht="13.5"/>
    <row r="7494" s="96" customFormat="true" ht="13.5"/>
    <row r="7495" s="96" customFormat="true" ht="13.5"/>
    <row r="7496" s="96" customFormat="true" ht="13.5"/>
    <row r="7497" s="96" customFormat="true" ht="13.5"/>
    <row r="7498" s="96" customFormat="true" ht="13.5"/>
    <row r="7499" s="96" customFormat="true" ht="13.5"/>
    <row r="7500" s="96" customFormat="true" ht="13.5"/>
    <row r="7501" s="96" customFormat="true" ht="13.5"/>
    <row r="7502" s="96" customFormat="true" ht="13.5"/>
    <row r="7503" s="96" customFormat="true" ht="13.5"/>
    <row r="7504" s="96" customFormat="true" ht="13.5"/>
    <row r="7505" s="96" customFormat="true" ht="13.5"/>
    <row r="7506" s="96" customFormat="true" ht="13.5"/>
    <row r="7507" s="96" customFormat="true" ht="13.5"/>
    <row r="7508" s="96" customFormat="true" ht="13.5"/>
    <row r="7509" s="96" customFormat="true" ht="13.5"/>
    <row r="7510" s="96" customFormat="true" ht="13.5"/>
    <row r="7511" s="96" customFormat="true" ht="13.5"/>
    <row r="7512" s="96" customFormat="true" ht="13.5"/>
    <row r="7513" s="96" customFormat="true" ht="13.5"/>
    <row r="7514" s="96" customFormat="true" ht="13.5"/>
    <row r="7515" s="96" customFormat="true" ht="13.5"/>
    <row r="7516" s="96" customFormat="true" ht="13.5"/>
    <row r="7517" s="96" customFormat="true" ht="13.5"/>
    <row r="7518" s="96" customFormat="true" ht="13.5"/>
    <row r="7519" s="96" customFormat="true" ht="13.5"/>
    <row r="7520" s="96" customFormat="true" ht="13.5"/>
    <row r="7521" s="96" customFormat="true" ht="13.5"/>
    <row r="7522" s="96" customFormat="true" ht="13.5"/>
    <row r="7523" s="96" customFormat="true" ht="13.5"/>
    <row r="7524" s="96" customFormat="true" ht="13.5"/>
    <row r="7525" s="96" customFormat="true" ht="13.5"/>
    <row r="7526" s="96" customFormat="true" ht="13.5"/>
    <row r="7527" s="96" customFormat="true" ht="13.5"/>
    <row r="7528" s="96" customFormat="true" ht="13.5"/>
    <row r="7529" s="96" customFormat="true" ht="13.5"/>
    <row r="7530" s="96" customFormat="true" ht="13.5"/>
    <row r="7531" s="96" customFormat="true" ht="13.5"/>
    <row r="7532" s="96" customFormat="true" ht="13.5"/>
    <row r="7533" s="96" customFormat="true" ht="13.5"/>
    <row r="7534" s="96" customFormat="true" ht="13.5"/>
    <row r="7535" s="96" customFormat="true" ht="13.5"/>
    <row r="7536" s="96" customFormat="true" ht="13.5"/>
    <row r="7537" s="96" customFormat="true" ht="13.5"/>
    <row r="7538" s="96" customFormat="true" ht="13.5"/>
    <row r="7539" s="96" customFormat="true" ht="13.5"/>
    <row r="7540" s="96" customFormat="true" ht="13.5"/>
    <row r="7541" s="96" customFormat="true" ht="13.5"/>
    <row r="7542" s="96" customFormat="true" ht="13.5"/>
    <row r="7543" s="96" customFormat="true" ht="13.5"/>
    <row r="7544" s="96" customFormat="true" ht="13.5"/>
    <row r="7545" s="96" customFormat="true" ht="13.5"/>
    <row r="7546" s="96" customFormat="true" ht="13.5"/>
    <row r="7547" s="96" customFormat="true" ht="13.5"/>
    <row r="7548" s="96" customFormat="true" ht="13.5"/>
    <row r="7549" s="96" customFormat="true" ht="13.5"/>
    <row r="7550" s="96" customFormat="true" ht="13.5"/>
    <row r="7551" s="96" customFormat="true" ht="13.5"/>
    <row r="7552" s="96" customFormat="true" ht="13.5"/>
    <row r="7553" s="96" customFormat="true" ht="13.5"/>
    <row r="7554" s="96" customFormat="true" ht="13.5"/>
    <row r="7555" s="96" customFormat="true" ht="13.5"/>
    <row r="7556" s="96" customFormat="true" ht="13.5"/>
    <row r="7557" s="96" customFormat="true" ht="13.5"/>
    <row r="7558" s="96" customFormat="true" ht="13.5"/>
    <row r="7559" s="96" customFormat="true" ht="13.5"/>
    <row r="7560" s="96" customFormat="true" ht="13.5"/>
    <row r="7561" s="96" customFormat="true" ht="13.5"/>
    <row r="7562" s="96" customFormat="true" ht="13.5"/>
    <row r="7563" s="96" customFormat="true" ht="13.5"/>
    <row r="7564" s="96" customFormat="true" ht="13.5"/>
    <row r="7565" s="96" customFormat="true" ht="13.5"/>
    <row r="7566" s="96" customFormat="true" ht="13.5"/>
    <row r="7567" s="96" customFormat="true" ht="13.5"/>
    <row r="7568" s="96" customFormat="true" ht="13.5"/>
    <row r="7569" s="96" customFormat="true" ht="13.5"/>
    <row r="7570" s="96" customFormat="true" ht="13.5"/>
    <row r="7571" s="96" customFormat="true" ht="13.5"/>
    <row r="7572" s="96" customFormat="true" ht="13.5"/>
    <row r="7573" s="96" customFormat="true" ht="13.5"/>
    <row r="7574" s="96" customFormat="true" ht="13.5"/>
    <row r="7575" s="96" customFormat="true" ht="13.5"/>
    <row r="7576" s="96" customFormat="true" ht="13.5"/>
    <row r="7577" s="96" customFormat="true" ht="13.5"/>
    <row r="7578" s="96" customFormat="true" ht="13.5"/>
    <row r="7579" s="96" customFormat="true" ht="13.5"/>
    <row r="7580" s="96" customFormat="true" ht="13.5"/>
    <row r="7581" s="96" customFormat="true" ht="13.5"/>
    <row r="7582" s="96" customFormat="true" ht="13.5"/>
    <row r="7583" s="96" customFormat="true" ht="13.5"/>
    <row r="7584" s="96" customFormat="true" ht="13.5"/>
    <row r="7585" s="96" customFormat="true" ht="13.5"/>
    <row r="7586" s="96" customFormat="true" ht="13.5"/>
    <row r="7587" s="96" customFormat="true" ht="13.5"/>
    <row r="7588" s="96" customFormat="true" ht="13.5"/>
    <row r="7589" s="96" customFormat="true" ht="13.5"/>
    <row r="7590" s="96" customFormat="true" ht="13.5"/>
    <row r="7591" s="96" customFormat="true" ht="13.5"/>
    <row r="7592" s="96" customFormat="true" ht="13.5"/>
    <row r="7593" s="96" customFormat="true" ht="13.5"/>
    <row r="7594" s="96" customFormat="true" ht="13.5"/>
    <row r="7595" s="96" customFormat="true" ht="13.5"/>
    <row r="7596" s="96" customFormat="true" ht="13.5"/>
    <row r="7597" s="96" customFormat="true" ht="13.5"/>
    <row r="7598" s="96" customFormat="true" ht="13.5"/>
    <row r="7599" s="96" customFormat="true" ht="13.5"/>
    <row r="7600" s="96" customFormat="true" ht="13.5"/>
    <row r="7601" s="96" customFormat="true" ht="13.5"/>
    <row r="7602" s="96" customFormat="true" ht="13.5"/>
    <row r="7603" s="96" customFormat="true" ht="13.5"/>
    <row r="7604" s="96" customFormat="true" ht="13.5"/>
    <row r="7605" s="96" customFormat="true" ht="13.5"/>
    <row r="7606" s="96" customFormat="true" ht="13.5"/>
    <row r="7607" s="96" customFormat="true" ht="13.5"/>
    <row r="7608" s="96" customFormat="true" ht="13.5"/>
    <row r="7609" s="96" customFormat="true" ht="13.5"/>
    <row r="7610" s="96" customFormat="true" ht="13.5"/>
    <row r="7611" s="96" customFormat="true" ht="13.5"/>
    <row r="7612" s="96" customFormat="true" ht="13.5"/>
    <row r="7613" s="96" customFormat="true" ht="13.5"/>
    <row r="7614" s="96" customFormat="true" ht="13.5"/>
    <row r="7615" s="96" customFormat="true" ht="13.5"/>
    <row r="7616" s="96" customFormat="true" ht="13.5"/>
    <row r="7617" s="96" customFormat="true" ht="13.5"/>
    <row r="7618" s="96" customFormat="true" ht="13.5"/>
    <row r="7619" s="96" customFormat="true" ht="13.5"/>
    <row r="7620" s="96" customFormat="true" ht="13.5"/>
    <row r="7621" s="96" customFormat="true" ht="13.5"/>
    <row r="7622" s="96" customFormat="true" ht="13.5"/>
    <row r="7623" s="96" customFormat="true" ht="13.5"/>
    <row r="7624" s="96" customFormat="true" ht="13.5"/>
    <row r="7625" s="96" customFormat="true" ht="13.5"/>
    <row r="7626" s="96" customFormat="true" ht="13.5"/>
    <row r="7627" s="96" customFormat="true" ht="13.5"/>
    <row r="7628" s="96" customFormat="true" ht="13.5"/>
    <row r="7629" s="96" customFormat="true" ht="13.5"/>
    <row r="7630" s="96" customFormat="true" ht="13.5"/>
    <row r="7631" s="96" customFormat="true" ht="13.5"/>
    <row r="7632" s="96" customFormat="true" ht="13.5"/>
    <row r="7633" s="96" customFormat="true" ht="13.5"/>
    <row r="7634" s="96" customFormat="true" ht="13.5"/>
    <row r="7635" s="96" customFormat="true" ht="13.5"/>
    <row r="7636" s="96" customFormat="true" ht="13.5"/>
    <row r="7637" s="96" customFormat="true" ht="13.5"/>
    <row r="7638" s="96" customFormat="true" ht="13.5"/>
    <row r="7639" s="96" customFormat="true" ht="13.5"/>
    <row r="7640" s="96" customFormat="true" ht="13.5"/>
    <row r="7641" s="96" customFormat="true" ht="13.5"/>
    <row r="7642" s="96" customFormat="true" ht="13.5"/>
    <row r="7643" s="96" customFormat="true" ht="13.5"/>
    <row r="7644" s="96" customFormat="true" ht="13.5"/>
    <row r="7645" s="96" customFormat="true" ht="13.5"/>
    <row r="7646" s="96" customFormat="true" ht="13.5"/>
    <row r="7647" s="96" customFormat="true" ht="13.5"/>
    <row r="7648" s="96" customFormat="true" ht="13.5"/>
    <row r="7649" s="96" customFormat="true" ht="13.5"/>
    <row r="7650" s="96" customFormat="true" ht="13.5"/>
    <row r="7651" s="96" customFormat="true" ht="13.5"/>
    <row r="7652" s="96" customFormat="true" ht="13.5"/>
    <row r="7653" s="96" customFormat="true" ht="13.5"/>
    <row r="7654" s="96" customFormat="true" ht="13.5"/>
    <row r="7655" s="96" customFormat="true" ht="13.5"/>
    <row r="7656" s="96" customFormat="true" ht="13.5"/>
    <row r="7657" s="96" customFormat="true" ht="13.5"/>
    <row r="7658" s="96" customFormat="true" ht="13.5"/>
    <row r="7659" s="96" customFormat="true" ht="13.5"/>
    <row r="7660" s="96" customFormat="true" ht="13.5"/>
    <row r="7661" s="96" customFormat="true" ht="13.5"/>
    <row r="7662" s="96" customFormat="true" ht="13.5"/>
    <row r="7663" s="96" customFormat="true" ht="13.5"/>
    <row r="7664" s="96" customFormat="true" ht="13.5"/>
    <row r="7665" s="96" customFormat="true" ht="13.5"/>
    <row r="7666" s="96" customFormat="true" ht="13.5"/>
    <row r="7667" s="96" customFormat="true" ht="13.5"/>
    <row r="7668" s="96" customFormat="true" ht="13.5"/>
    <row r="7669" s="96" customFormat="true" ht="13.5"/>
    <row r="7670" s="96" customFormat="true" ht="13.5"/>
    <row r="7671" s="96" customFormat="true" ht="13.5"/>
    <row r="7672" s="96" customFormat="true" ht="13.5"/>
    <row r="7673" s="96" customFormat="true" ht="13.5"/>
    <row r="7674" s="96" customFormat="true" ht="13.5"/>
    <row r="7675" s="96" customFormat="true" ht="13.5"/>
    <row r="7676" s="96" customFormat="true" ht="13.5"/>
    <row r="7677" s="96" customFormat="true" ht="13.5"/>
    <row r="7678" s="96" customFormat="true" ht="13.5"/>
    <row r="7679" s="96" customFormat="true" ht="13.5"/>
    <row r="7680" s="96" customFormat="true" ht="13.5"/>
    <row r="7681" s="96" customFormat="true" ht="13.5"/>
    <row r="7682" s="96" customFormat="true" ht="13.5"/>
    <row r="7683" s="96" customFormat="true" ht="13.5"/>
    <row r="7684" s="96" customFormat="true" ht="13.5"/>
    <row r="7685" s="96" customFormat="true" ht="13.5"/>
    <row r="7686" s="96" customFormat="true" ht="13.5"/>
    <row r="7687" s="96" customFormat="true" ht="13.5"/>
    <row r="7688" s="96" customFormat="true" ht="13.5"/>
    <row r="7689" s="96" customFormat="true" ht="13.5"/>
    <row r="7690" s="96" customFormat="true" ht="13.5"/>
    <row r="7691" s="96" customFormat="true" ht="13.5"/>
    <row r="7692" s="96" customFormat="true" ht="13.5"/>
    <row r="7693" s="96" customFormat="true" ht="13.5"/>
    <row r="7694" s="96" customFormat="true" ht="13.5"/>
    <row r="7695" s="96" customFormat="true" ht="13.5"/>
    <row r="7696" s="96" customFormat="true" ht="13.5"/>
    <row r="7697" s="96" customFormat="true" ht="13.5"/>
    <row r="7698" s="96" customFormat="true" ht="13.5"/>
    <row r="7699" s="96" customFormat="true" ht="13.5"/>
    <row r="7700" s="96" customFormat="true" ht="13.5"/>
    <row r="7701" s="96" customFormat="true" ht="13.5"/>
    <row r="7702" s="96" customFormat="true" ht="13.5"/>
    <row r="7703" s="96" customFormat="true" ht="13.5"/>
    <row r="7704" s="96" customFormat="true" ht="13.5"/>
    <row r="7705" s="96" customFormat="true" ht="13.5"/>
    <row r="7706" s="96" customFormat="true" ht="13.5"/>
    <row r="7707" s="96" customFormat="true" ht="13.5"/>
    <row r="7708" s="96" customFormat="true" ht="13.5"/>
    <row r="7709" s="96" customFormat="true" ht="13.5"/>
    <row r="7710" s="96" customFormat="true" ht="13.5"/>
    <row r="7711" s="96" customFormat="true" ht="13.5"/>
    <row r="7712" s="96" customFormat="true" ht="13.5"/>
    <row r="7713" s="96" customFormat="true" ht="13.5"/>
    <row r="7714" s="96" customFormat="true" ht="13.5"/>
    <row r="7715" s="96" customFormat="true" ht="13.5"/>
    <row r="7716" s="96" customFormat="true" ht="13.5"/>
    <row r="7717" s="96" customFormat="true" ht="13.5"/>
    <row r="7718" s="96" customFormat="true" ht="13.5"/>
    <row r="7719" s="96" customFormat="true" ht="13.5"/>
    <row r="7720" s="96" customFormat="true" ht="13.5"/>
    <row r="7721" s="96" customFormat="true" ht="13.5"/>
    <row r="7722" s="96" customFormat="true" ht="13.5"/>
    <row r="7723" s="96" customFormat="true" ht="13.5"/>
    <row r="7724" s="96" customFormat="true" ht="13.5"/>
    <row r="7725" s="96" customFormat="true" ht="13.5"/>
    <row r="7726" s="96" customFormat="true" ht="13.5"/>
    <row r="7727" s="96" customFormat="true" ht="13.5"/>
    <row r="7728" s="96" customFormat="true" ht="13.5"/>
    <row r="7729" s="96" customFormat="true" ht="13.5"/>
    <row r="7730" s="96" customFormat="true" ht="13.5"/>
    <row r="7731" s="96" customFormat="true" ht="13.5"/>
    <row r="7732" s="96" customFormat="true" ht="13.5"/>
    <row r="7733" s="96" customFormat="true" ht="13.5"/>
    <row r="7734" s="96" customFormat="true" ht="13.5"/>
    <row r="7735" s="96" customFormat="true" ht="13.5"/>
    <row r="7736" s="96" customFormat="true" ht="13.5"/>
    <row r="7737" s="96" customFormat="true" ht="13.5"/>
    <row r="7738" s="96" customFormat="true" ht="13.5"/>
    <row r="7739" s="96" customFormat="true" ht="13.5"/>
    <row r="7740" s="96" customFormat="true" ht="13.5"/>
    <row r="7741" s="96" customFormat="true" ht="13.5"/>
    <row r="7742" s="96" customFormat="true" ht="13.5"/>
    <row r="7743" s="96" customFormat="true" ht="13.5"/>
    <row r="7744" s="96" customFormat="true" ht="13.5"/>
    <row r="7745" s="96" customFormat="true" ht="13.5"/>
    <row r="7746" s="96" customFormat="true" ht="13.5"/>
    <row r="7747" s="96" customFormat="true" ht="13.5"/>
    <row r="7748" s="96" customFormat="true" ht="13.5"/>
    <row r="7749" s="96" customFormat="true" ht="13.5"/>
    <row r="7750" s="96" customFormat="true" ht="13.5"/>
    <row r="7751" s="96" customFormat="true" ht="13.5"/>
    <row r="7752" s="96" customFormat="true" ht="13.5"/>
    <row r="7753" s="96" customFormat="true" ht="13.5"/>
    <row r="7754" s="96" customFormat="true" ht="13.5"/>
    <row r="7755" s="96" customFormat="true" ht="13.5"/>
    <row r="7756" s="96" customFormat="true" ht="13.5"/>
    <row r="7757" s="96" customFormat="true" ht="13.5"/>
    <row r="7758" s="96" customFormat="true" ht="13.5"/>
    <row r="7759" s="96" customFormat="true" ht="13.5"/>
    <row r="7760" s="96" customFormat="true" ht="13.5"/>
    <row r="7761" s="96" customFormat="true" ht="13.5"/>
    <row r="7762" s="96" customFormat="true" ht="13.5"/>
    <row r="7763" s="96" customFormat="true" ht="13.5"/>
    <row r="7764" s="96" customFormat="true" ht="13.5"/>
    <row r="7765" s="96" customFormat="true" ht="13.5"/>
    <row r="7766" s="96" customFormat="true" ht="13.5"/>
    <row r="7767" s="96" customFormat="true" ht="13.5"/>
    <row r="7768" s="96" customFormat="true" ht="13.5"/>
    <row r="7769" s="96" customFormat="true" ht="13.5"/>
    <row r="7770" s="96" customFormat="true" ht="13.5"/>
    <row r="7771" s="96" customFormat="true" ht="13.5"/>
    <row r="7772" s="96" customFormat="true" ht="13.5"/>
    <row r="7773" s="96" customFormat="true" ht="13.5"/>
    <row r="7774" s="96" customFormat="true" ht="13.5"/>
    <row r="7775" s="96" customFormat="true" ht="13.5"/>
    <row r="7776" s="96" customFormat="true" ht="13.5"/>
    <row r="7777" s="96" customFormat="true" ht="13.5"/>
    <row r="7778" s="96" customFormat="true" ht="13.5"/>
    <row r="7779" s="96" customFormat="true" ht="13.5"/>
    <row r="7780" s="96" customFormat="true" ht="13.5"/>
    <row r="7781" s="96" customFormat="true" ht="13.5"/>
    <row r="7782" s="96" customFormat="true" ht="13.5"/>
    <row r="7783" s="96" customFormat="true" ht="13.5"/>
    <row r="7784" s="96" customFormat="true" ht="13.5"/>
    <row r="7785" s="96" customFormat="true" ht="13.5"/>
    <row r="7786" s="96" customFormat="true" ht="13.5"/>
    <row r="7787" s="96" customFormat="true" ht="13.5"/>
    <row r="7788" s="96" customFormat="true" ht="13.5"/>
    <row r="7789" s="96" customFormat="true" ht="13.5"/>
    <row r="7790" s="96" customFormat="true" ht="13.5"/>
    <row r="7791" s="96" customFormat="true" ht="13.5"/>
    <row r="7792" s="96" customFormat="true" ht="13.5"/>
    <row r="7793" s="96" customFormat="true" ht="13.5"/>
    <row r="7794" s="96" customFormat="true" ht="13.5"/>
    <row r="7795" s="96" customFormat="true" ht="13.5"/>
    <row r="7796" s="96" customFormat="true" ht="13.5"/>
    <row r="7797" s="96" customFormat="true" ht="13.5"/>
    <row r="7798" s="96" customFormat="true" ht="13.5"/>
    <row r="7799" s="96" customFormat="true" ht="13.5"/>
    <row r="7800" s="96" customFormat="true" ht="13.5"/>
    <row r="7801" s="96" customFormat="true" ht="13.5"/>
    <row r="7802" s="96" customFormat="true" ht="13.5"/>
    <row r="7803" s="96" customFormat="true" ht="13.5"/>
    <row r="7804" s="96" customFormat="true" ht="13.5"/>
    <row r="7805" s="96" customFormat="true" ht="13.5"/>
    <row r="7806" s="96" customFormat="true" ht="13.5"/>
    <row r="7807" s="96" customFormat="true" ht="13.5"/>
    <row r="7808" s="96" customFormat="true" ht="13.5"/>
    <row r="7809" s="96" customFormat="true" ht="13.5"/>
    <row r="7810" s="96" customFormat="true" ht="13.5"/>
    <row r="7811" s="96" customFormat="true" ht="13.5"/>
    <row r="7812" s="96" customFormat="true" ht="13.5"/>
    <row r="7813" s="96" customFormat="true" ht="13.5"/>
    <row r="7814" s="96" customFormat="true" ht="13.5"/>
    <row r="7815" s="96" customFormat="true" ht="13.5"/>
    <row r="7816" s="96" customFormat="true" ht="13.5"/>
    <row r="7817" s="96" customFormat="true" ht="13.5"/>
    <row r="7818" s="96" customFormat="true" ht="13.5"/>
    <row r="7819" s="96" customFormat="true" ht="13.5"/>
    <row r="7820" s="96" customFormat="true" ht="13.5"/>
    <row r="7821" s="96" customFormat="true" ht="13.5"/>
    <row r="7822" s="96" customFormat="true" ht="13.5"/>
    <row r="7823" s="96" customFormat="true" ht="13.5"/>
    <row r="7824" s="96" customFormat="true" ht="13.5"/>
    <row r="7825" s="96" customFormat="true" ht="13.5"/>
    <row r="7826" s="96" customFormat="true" ht="13.5"/>
    <row r="7827" s="96" customFormat="true" ht="13.5"/>
    <row r="7828" s="96" customFormat="true" ht="13.5"/>
    <row r="7829" s="96" customFormat="true" ht="13.5"/>
    <row r="7830" s="96" customFormat="true" ht="13.5"/>
    <row r="7831" s="96" customFormat="true" ht="13.5"/>
    <row r="7832" s="96" customFormat="true" ht="13.5"/>
    <row r="7833" s="96" customFormat="true" ht="13.5"/>
    <row r="7834" s="96" customFormat="true" ht="13.5"/>
    <row r="7835" s="96" customFormat="true" ht="13.5"/>
    <row r="7836" s="96" customFormat="true" ht="13.5"/>
    <row r="7837" s="96" customFormat="true" ht="13.5"/>
    <row r="7838" s="96" customFormat="true" ht="13.5"/>
    <row r="7839" s="96" customFormat="true" ht="13.5"/>
    <row r="7840" s="96" customFormat="true" ht="13.5"/>
    <row r="7841" s="96" customFormat="true" ht="13.5"/>
    <row r="7842" s="96" customFormat="true" ht="13.5"/>
    <row r="7843" s="96" customFormat="true" ht="13.5"/>
    <row r="7844" s="96" customFormat="true" ht="13.5"/>
    <row r="7845" s="96" customFormat="true" ht="13.5"/>
    <row r="7846" s="96" customFormat="true" ht="13.5"/>
    <row r="7847" s="96" customFormat="true" ht="13.5"/>
    <row r="7848" s="96" customFormat="true" ht="13.5"/>
    <row r="7849" s="96" customFormat="true" ht="13.5"/>
    <row r="7850" s="96" customFormat="true" ht="13.5"/>
    <row r="7851" s="96" customFormat="true" ht="13.5"/>
    <row r="7852" s="96" customFormat="true" ht="13.5"/>
    <row r="7853" s="96" customFormat="true" ht="13.5"/>
    <row r="7854" s="96" customFormat="true" ht="13.5"/>
    <row r="7855" s="96" customFormat="true" ht="13.5"/>
    <row r="7856" s="96" customFormat="true" ht="13.5"/>
    <row r="7857" s="96" customFormat="true" ht="13.5"/>
    <row r="7858" s="96" customFormat="true" ht="13.5"/>
    <row r="7859" s="96" customFormat="true" ht="13.5"/>
    <row r="7860" s="96" customFormat="true" ht="13.5"/>
    <row r="7861" s="96" customFormat="true" ht="13.5"/>
    <row r="7862" s="96" customFormat="true" ht="13.5"/>
    <row r="7863" s="96" customFormat="true" ht="13.5"/>
    <row r="7864" s="96" customFormat="true" ht="13.5"/>
    <row r="7865" s="96" customFormat="true" ht="13.5"/>
    <row r="7866" s="96" customFormat="true" ht="13.5"/>
    <row r="7867" s="96" customFormat="true" ht="13.5"/>
    <row r="7868" s="96" customFormat="true" ht="13.5"/>
    <row r="7869" s="96" customFormat="true" ht="13.5"/>
    <row r="7870" s="96" customFormat="true" ht="13.5"/>
    <row r="7871" s="96" customFormat="true" ht="13.5"/>
    <row r="7872" s="96" customFormat="true" ht="13.5"/>
    <row r="7873" s="96" customFormat="true" ht="13.5"/>
    <row r="7874" s="96" customFormat="true" ht="13.5"/>
    <row r="7875" s="96" customFormat="true" ht="13.5"/>
    <row r="7876" s="96" customFormat="true" ht="13.5"/>
    <row r="7877" s="96" customFormat="true" ht="13.5"/>
    <row r="7878" s="96" customFormat="true" ht="13.5"/>
    <row r="7879" s="96" customFormat="true" ht="13.5"/>
    <row r="7880" s="96" customFormat="true" ht="13.5"/>
    <row r="7881" s="96" customFormat="true" ht="13.5"/>
    <row r="7882" s="96" customFormat="true" ht="13.5"/>
    <row r="7883" s="96" customFormat="true" ht="13.5"/>
    <row r="7884" s="96" customFormat="true" ht="13.5"/>
    <row r="7885" s="96" customFormat="true" ht="13.5"/>
    <row r="7886" s="96" customFormat="true" ht="13.5"/>
    <row r="7887" s="96" customFormat="true" ht="13.5"/>
    <row r="7888" s="96" customFormat="true" ht="13.5"/>
    <row r="7889" s="96" customFormat="true" ht="13.5"/>
    <row r="7890" s="96" customFormat="true" ht="13.5"/>
    <row r="7891" s="96" customFormat="true" ht="13.5"/>
    <row r="7892" s="96" customFormat="true" ht="13.5"/>
    <row r="7893" s="96" customFormat="true" ht="13.5"/>
    <row r="7894" s="96" customFormat="true" ht="13.5"/>
    <row r="7895" s="96" customFormat="true" ht="13.5"/>
    <row r="7896" s="96" customFormat="true" ht="13.5"/>
    <row r="7897" s="96" customFormat="true" ht="13.5"/>
    <row r="7898" s="96" customFormat="true" ht="13.5"/>
    <row r="7899" s="96" customFormat="true" ht="13.5"/>
    <row r="7900" s="96" customFormat="true" ht="13.5"/>
    <row r="7901" s="96" customFormat="true" ht="13.5"/>
    <row r="7902" s="96" customFormat="true" ht="13.5"/>
    <row r="7903" s="96" customFormat="true" ht="13.5"/>
    <row r="7904" s="96" customFormat="true" ht="13.5"/>
    <row r="7905" s="96" customFormat="true" ht="13.5"/>
    <row r="7906" s="96" customFormat="true" ht="13.5"/>
    <row r="7907" s="96" customFormat="true" ht="13.5"/>
    <row r="7908" s="96" customFormat="true" ht="13.5"/>
    <row r="7909" s="96" customFormat="true" ht="13.5"/>
    <row r="7910" s="96" customFormat="true" ht="13.5"/>
    <row r="7911" s="96" customFormat="true" ht="13.5"/>
    <row r="7912" s="96" customFormat="true" ht="13.5"/>
    <row r="7913" s="96" customFormat="true" ht="13.5"/>
    <row r="7914" s="96" customFormat="true" ht="13.5"/>
    <row r="7915" s="96" customFormat="true" ht="13.5"/>
    <row r="7916" s="96" customFormat="true" ht="13.5"/>
    <row r="7917" s="96" customFormat="true" ht="13.5"/>
    <row r="7918" s="96" customFormat="true" ht="13.5"/>
    <row r="7919" s="96" customFormat="true" ht="13.5"/>
    <row r="7920" s="96" customFormat="true" ht="13.5"/>
    <row r="7921" s="96" customFormat="true" ht="13.5"/>
    <row r="7922" s="96" customFormat="true" ht="13.5"/>
    <row r="7923" s="96" customFormat="true" ht="13.5"/>
    <row r="7924" s="96" customFormat="true" ht="13.5"/>
    <row r="7925" s="96" customFormat="true" ht="13.5"/>
    <row r="7926" s="96" customFormat="true" ht="13.5"/>
    <row r="7927" s="96" customFormat="true" ht="13.5"/>
    <row r="7928" s="96" customFormat="true" ht="13.5"/>
    <row r="7929" s="96" customFormat="true" ht="13.5"/>
    <row r="7930" s="96" customFormat="true" ht="13.5"/>
    <row r="7931" s="96" customFormat="true" ht="13.5"/>
    <row r="7932" s="96" customFormat="true" ht="13.5"/>
    <row r="7933" s="96" customFormat="true" ht="13.5"/>
    <row r="7934" s="96" customFormat="true" ht="13.5"/>
    <row r="7935" s="96" customFormat="true" ht="13.5"/>
    <row r="7936" s="96" customFormat="true" ht="13.5"/>
    <row r="7937" s="96" customFormat="true" ht="13.5"/>
    <row r="7938" s="96" customFormat="true" ht="13.5"/>
    <row r="7939" s="96" customFormat="true" ht="13.5"/>
    <row r="7940" s="96" customFormat="true" ht="13.5"/>
    <row r="7941" s="96" customFormat="true" ht="13.5"/>
    <row r="7942" s="96" customFormat="true" ht="13.5"/>
    <row r="7943" s="96" customFormat="true" ht="13.5"/>
    <row r="7944" s="96" customFormat="true" ht="13.5"/>
    <row r="7945" s="96" customFormat="true" ht="13.5"/>
    <row r="7946" s="96" customFormat="true" ht="13.5"/>
    <row r="7947" s="96" customFormat="true" ht="13.5"/>
    <row r="7948" s="96" customFormat="true" ht="13.5"/>
    <row r="7949" s="96" customFormat="true" ht="13.5"/>
    <row r="7950" s="96" customFormat="true" ht="13.5"/>
    <row r="7951" s="96" customFormat="true" ht="13.5"/>
    <row r="7952" s="96" customFormat="true" ht="13.5"/>
    <row r="7953" s="96" customFormat="true" ht="13.5"/>
    <row r="7954" s="96" customFormat="true" ht="13.5"/>
    <row r="7955" s="96" customFormat="true" ht="13.5"/>
    <row r="7956" s="96" customFormat="true" ht="13.5"/>
    <row r="7957" s="96" customFormat="true" ht="13.5"/>
    <row r="7958" s="96" customFormat="true" ht="13.5"/>
    <row r="7959" s="96" customFormat="true" ht="13.5"/>
    <row r="7960" s="96" customFormat="true" ht="13.5"/>
    <row r="7961" s="96" customFormat="true" ht="13.5"/>
    <row r="7962" s="96" customFormat="true" ht="13.5"/>
    <row r="7963" s="96" customFormat="true" ht="13.5"/>
    <row r="7964" s="96" customFormat="true" ht="13.5"/>
    <row r="7965" s="96" customFormat="true" ht="13.5"/>
    <row r="7966" s="96" customFormat="true" ht="13.5"/>
    <row r="7967" s="96" customFormat="true" ht="13.5"/>
    <row r="7968" s="96" customFormat="true" ht="13.5"/>
    <row r="7969" s="96" customFormat="true" ht="13.5"/>
    <row r="7970" s="96" customFormat="true" ht="13.5"/>
    <row r="7971" s="96" customFormat="true" ht="13.5"/>
    <row r="7972" s="96" customFormat="true" ht="13.5"/>
    <row r="7973" s="96" customFormat="true" ht="13.5"/>
    <row r="7974" s="96" customFormat="true" ht="13.5"/>
    <row r="7975" s="96" customFormat="true" ht="13.5"/>
    <row r="7976" s="96" customFormat="true" ht="13.5"/>
    <row r="7977" s="96" customFormat="true" ht="13.5"/>
    <row r="7978" s="96" customFormat="true" ht="13.5"/>
    <row r="7979" s="96" customFormat="true" ht="13.5"/>
    <row r="7980" s="96" customFormat="true" ht="13.5"/>
    <row r="7981" s="96" customFormat="true" ht="13.5"/>
    <row r="7982" s="96" customFormat="true" ht="13.5"/>
    <row r="7983" s="96" customFormat="true" ht="13.5"/>
    <row r="7984" s="96" customFormat="true" ht="13.5"/>
    <row r="7985" s="96" customFormat="true" ht="13.5"/>
    <row r="7986" s="96" customFormat="true" ht="13.5"/>
    <row r="7987" s="96" customFormat="true" ht="13.5"/>
    <row r="7988" s="96" customFormat="true" ht="13.5"/>
    <row r="7989" s="96" customFormat="true" ht="13.5"/>
    <row r="7990" s="96" customFormat="true" ht="13.5"/>
    <row r="7991" s="96" customFormat="true" ht="13.5"/>
    <row r="7992" s="96" customFormat="true" ht="13.5"/>
    <row r="7993" s="96" customFormat="true" ht="13.5"/>
    <row r="7994" s="96" customFormat="true" ht="13.5"/>
    <row r="7995" s="96" customFormat="true" ht="13.5"/>
    <row r="7996" s="96" customFormat="true" ht="13.5"/>
    <row r="7997" s="96" customFormat="true" ht="13.5"/>
    <row r="7998" s="96" customFormat="true" ht="13.5"/>
    <row r="7999" s="96" customFormat="true" ht="13.5"/>
    <row r="8000" s="96" customFormat="true" ht="13.5"/>
    <row r="8001" s="96" customFormat="true" ht="13.5"/>
    <row r="8002" s="96" customFormat="true" ht="13.5"/>
    <row r="8003" s="96" customFormat="true" ht="13.5"/>
    <row r="8004" s="96" customFormat="true" ht="13.5"/>
    <row r="8005" s="96" customFormat="true" ht="13.5"/>
    <row r="8006" s="96" customFormat="true" ht="13.5"/>
    <row r="8007" s="96" customFormat="true" ht="13.5"/>
    <row r="8008" s="96" customFormat="true" ht="13.5"/>
    <row r="8009" s="96" customFormat="true" ht="13.5"/>
    <row r="8010" s="96" customFormat="true" ht="13.5"/>
    <row r="8011" s="96" customFormat="true" ht="13.5"/>
    <row r="8012" s="96" customFormat="true" ht="13.5"/>
    <row r="8013" s="96" customFormat="true" ht="13.5"/>
    <row r="8014" s="96" customFormat="true" ht="13.5"/>
    <row r="8015" s="96" customFormat="true" ht="13.5"/>
    <row r="8016" s="96" customFormat="true" ht="13.5"/>
    <row r="8017" s="96" customFormat="true" ht="13.5"/>
    <row r="8018" s="96" customFormat="true" ht="13.5"/>
    <row r="8019" s="96" customFormat="true" ht="13.5"/>
    <row r="8020" s="96" customFormat="true" ht="13.5"/>
    <row r="8021" s="96" customFormat="true" ht="13.5"/>
    <row r="8022" s="96" customFormat="true" ht="13.5"/>
    <row r="8023" s="96" customFormat="true" ht="13.5"/>
    <row r="8024" s="96" customFormat="true" ht="13.5"/>
    <row r="8025" s="96" customFormat="true" ht="13.5"/>
    <row r="8026" s="96" customFormat="true" ht="13.5"/>
    <row r="8027" s="96" customFormat="true" ht="13.5"/>
    <row r="8028" s="96" customFormat="true" ht="13.5"/>
    <row r="8029" s="96" customFormat="true" ht="13.5"/>
    <row r="8030" s="96" customFormat="true" ht="13.5"/>
    <row r="8031" s="96" customFormat="true" ht="13.5"/>
    <row r="8032" s="96" customFormat="true" ht="13.5"/>
    <row r="8033" s="96" customFormat="true" ht="13.5"/>
    <row r="8034" s="96" customFormat="true" ht="13.5"/>
    <row r="8035" s="96" customFormat="true" ht="13.5"/>
    <row r="8036" s="96" customFormat="true" ht="13.5"/>
    <row r="8037" s="96" customFormat="true" ht="13.5"/>
    <row r="8038" s="96" customFormat="true" ht="13.5"/>
    <row r="8039" s="96" customFormat="true" ht="13.5"/>
    <row r="8040" s="96" customFormat="true" ht="13.5"/>
    <row r="8041" s="96" customFormat="true" ht="13.5"/>
    <row r="8042" s="96" customFormat="true" ht="13.5"/>
    <row r="8043" s="96" customFormat="true" ht="13.5"/>
    <row r="8044" s="96" customFormat="true" ht="13.5"/>
    <row r="8045" s="96" customFormat="true" ht="13.5"/>
    <row r="8046" s="96" customFormat="true" ht="13.5"/>
    <row r="8047" s="96" customFormat="true" ht="13.5"/>
    <row r="8048" s="96" customFormat="true" ht="13.5"/>
    <row r="8049" s="96" customFormat="true" ht="13.5"/>
    <row r="8050" s="96" customFormat="true" ht="13.5"/>
    <row r="8051" s="96" customFormat="true" ht="13.5"/>
    <row r="8052" s="96" customFormat="true" ht="13.5"/>
    <row r="8053" s="96" customFormat="true" ht="13.5"/>
    <row r="8054" s="96" customFormat="true" ht="13.5"/>
    <row r="8055" s="96" customFormat="true" ht="13.5"/>
    <row r="8056" s="96" customFormat="true" ht="13.5"/>
    <row r="8057" s="96" customFormat="true" ht="13.5"/>
    <row r="8058" s="96" customFormat="true" ht="13.5"/>
    <row r="8059" s="96" customFormat="true" ht="13.5"/>
    <row r="8060" s="96" customFormat="true" ht="13.5"/>
    <row r="8061" s="96" customFormat="true" ht="13.5"/>
    <row r="8062" s="96" customFormat="true" ht="13.5"/>
    <row r="8063" s="96" customFormat="true" ht="13.5"/>
    <row r="8064" s="96" customFormat="true" ht="13.5"/>
    <row r="8065" s="96" customFormat="true" ht="13.5"/>
    <row r="8066" s="96" customFormat="true" ht="13.5"/>
    <row r="8067" s="96" customFormat="true" ht="13.5"/>
    <row r="8068" s="96" customFormat="true" ht="13.5"/>
    <row r="8069" s="96" customFormat="true" ht="13.5"/>
    <row r="8070" s="96" customFormat="true" ht="13.5"/>
    <row r="8071" s="96" customFormat="true" ht="13.5"/>
    <row r="8072" s="96" customFormat="true" ht="13.5"/>
    <row r="8073" s="96" customFormat="true" ht="13.5"/>
    <row r="8074" s="96" customFormat="true" ht="13.5"/>
    <row r="8075" s="96" customFormat="true" ht="13.5"/>
    <row r="8076" s="96" customFormat="true" ht="13.5"/>
    <row r="8077" s="96" customFormat="true" ht="13.5"/>
    <row r="8078" s="96" customFormat="true" ht="13.5"/>
    <row r="8079" s="96" customFormat="true" ht="13.5"/>
    <row r="8080" s="96" customFormat="true" ht="13.5"/>
    <row r="8081" s="96" customFormat="true" ht="13.5"/>
    <row r="8082" s="96" customFormat="true" ht="13.5"/>
    <row r="8083" s="96" customFormat="true" ht="13.5"/>
    <row r="8084" s="96" customFormat="true" ht="13.5"/>
    <row r="8085" s="96" customFormat="true" ht="13.5"/>
    <row r="8086" s="96" customFormat="true" ht="13.5"/>
    <row r="8087" s="96" customFormat="true" ht="13.5"/>
    <row r="8088" s="96" customFormat="true" ht="13.5"/>
    <row r="8089" s="96" customFormat="true" ht="13.5"/>
    <row r="8090" s="96" customFormat="true" ht="13.5"/>
    <row r="8091" s="96" customFormat="true" ht="13.5"/>
    <row r="8092" s="96" customFormat="true" ht="13.5"/>
    <row r="8093" s="96" customFormat="true" ht="13.5"/>
    <row r="8094" s="96" customFormat="true" ht="13.5"/>
    <row r="8095" s="96" customFormat="true" ht="13.5"/>
    <row r="8096" s="96" customFormat="true" ht="13.5"/>
    <row r="8097" s="96" customFormat="true" ht="13.5"/>
    <row r="8098" s="96" customFormat="true" ht="13.5"/>
    <row r="8099" s="96" customFormat="true" ht="13.5"/>
    <row r="8100" s="96" customFormat="true" ht="13.5"/>
    <row r="8101" s="96" customFormat="true" ht="13.5"/>
    <row r="8102" s="96" customFormat="true" ht="13.5"/>
    <row r="8103" s="96" customFormat="true" ht="13.5"/>
    <row r="8104" s="96" customFormat="true" ht="13.5"/>
    <row r="8105" s="96" customFormat="true" ht="13.5"/>
    <row r="8106" s="96" customFormat="true" ht="13.5"/>
    <row r="8107" s="96" customFormat="true" ht="13.5"/>
    <row r="8108" s="96" customFormat="true" ht="13.5"/>
    <row r="8109" s="96" customFormat="true" ht="13.5"/>
    <row r="8110" s="96" customFormat="true" ht="13.5"/>
    <row r="8111" s="96" customFormat="true" ht="13.5"/>
    <row r="8112" s="96" customFormat="true" ht="13.5"/>
    <row r="8113" s="96" customFormat="true" ht="13.5"/>
    <row r="8114" s="96" customFormat="true" ht="13.5"/>
    <row r="8115" s="96" customFormat="true" ht="13.5"/>
    <row r="8116" s="96" customFormat="true" ht="13.5"/>
    <row r="8117" s="96" customFormat="true" ht="13.5"/>
    <row r="8118" s="96" customFormat="true" ht="13.5"/>
    <row r="8119" s="96" customFormat="true" ht="13.5"/>
    <row r="8120" s="96" customFormat="true" ht="13.5"/>
    <row r="8121" s="96" customFormat="true" ht="13.5"/>
    <row r="8122" s="96" customFormat="true" ht="13.5"/>
    <row r="8123" s="96" customFormat="true" ht="13.5"/>
    <row r="8124" s="96" customFormat="true" ht="13.5"/>
    <row r="8125" s="96" customFormat="true" ht="13.5"/>
    <row r="8126" s="96" customFormat="true" ht="13.5"/>
    <row r="8127" s="96" customFormat="true" ht="13.5"/>
    <row r="8128" s="96" customFormat="true" ht="13.5"/>
    <row r="8129" s="96" customFormat="true" ht="13.5"/>
    <row r="8130" s="96" customFormat="true" ht="13.5"/>
    <row r="8131" s="96" customFormat="true" ht="13.5"/>
    <row r="8132" s="96" customFormat="true" ht="13.5"/>
    <row r="8133" s="96" customFormat="true" ht="13.5"/>
    <row r="8134" s="96" customFormat="true" ht="13.5"/>
    <row r="8135" s="96" customFormat="true" ht="13.5"/>
    <row r="8136" s="96" customFormat="true" ht="13.5"/>
    <row r="8137" s="96" customFormat="true" ht="13.5"/>
    <row r="8138" s="96" customFormat="true" ht="13.5"/>
    <row r="8139" s="96" customFormat="true" ht="13.5"/>
    <row r="8140" s="96" customFormat="true" ht="13.5"/>
    <row r="8141" s="96" customFormat="true" ht="13.5"/>
    <row r="8142" s="96" customFormat="true" ht="13.5"/>
    <row r="8143" s="96" customFormat="true" ht="13.5"/>
    <row r="8144" s="96" customFormat="true" ht="13.5"/>
    <row r="8145" s="96" customFormat="true" ht="13.5"/>
    <row r="8146" s="96" customFormat="true" ht="13.5"/>
    <row r="8147" s="96" customFormat="true" ht="13.5"/>
    <row r="8148" s="96" customFormat="true" ht="13.5"/>
    <row r="8149" s="96" customFormat="true" ht="13.5"/>
    <row r="8150" s="96" customFormat="true" ht="13.5"/>
    <row r="8151" s="96" customFormat="true" ht="13.5"/>
    <row r="8152" s="96" customFormat="true" ht="13.5"/>
    <row r="8153" s="96" customFormat="true" ht="13.5"/>
    <row r="8154" s="96" customFormat="true" ht="13.5"/>
    <row r="8155" s="96" customFormat="true" ht="13.5"/>
    <row r="8156" s="96" customFormat="true" ht="13.5"/>
    <row r="8157" s="96" customFormat="true" ht="13.5"/>
    <row r="8158" s="96" customFormat="true" ht="13.5"/>
    <row r="8159" s="96" customFormat="true" ht="13.5"/>
    <row r="8160" s="96" customFormat="true" ht="13.5"/>
    <row r="8161" s="96" customFormat="true" ht="13.5"/>
    <row r="8162" s="96" customFormat="true" ht="13.5"/>
    <row r="8163" s="96" customFormat="true" ht="13.5"/>
    <row r="8164" s="96" customFormat="true" ht="13.5"/>
    <row r="8165" s="96" customFormat="true" ht="13.5"/>
    <row r="8166" s="96" customFormat="true" ht="13.5"/>
    <row r="8167" s="96" customFormat="true" ht="13.5"/>
    <row r="8168" s="96" customFormat="true" ht="13.5"/>
    <row r="8169" s="96" customFormat="true" ht="13.5"/>
    <row r="8170" s="96" customFormat="true" ht="13.5"/>
    <row r="8171" s="96" customFormat="true" ht="13.5"/>
    <row r="8172" s="96" customFormat="true" ht="13.5"/>
    <row r="8173" s="96" customFormat="true" ht="13.5"/>
    <row r="8174" s="96" customFormat="true" ht="13.5"/>
    <row r="8175" s="96" customFormat="true" ht="13.5"/>
    <row r="8176" s="96" customFormat="true" ht="13.5"/>
    <row r="8177" s="96" customFormat="true" ht="13.5"/>
    <row r="8178" s="96" customFormat="true" ht="13.5"/>
    <row r="8179" s="96" customFormat="true" ht="13.5"/>
    <row r="8180" s="96" customFormat="true" ht="13.5"/>
    <row r="8181" s="96" customFormat="true" ht="13.5"/>
    <row r="8182" s="96" customFormat="true" ht="13.5"/>
    <row r="8183" s="96" customFormat="true" ht="13.5"/>
    <row r="8184" s="96" customFormat="true" ht="13.5"/>
    <row r="8185" s="96" customFormat="true" ht="13.5"/>
    <row r="8186" s="96" customFormat="true" ht="13.5"/>
    <row r="8187" s="96" customFormat="true" ht="13.5"/>
    <row r="8188" s="96" customFormat="true" ht="13.5"/>
    <row r="8189" s="96" customFormat="true" ht="13.5"/>
    <row r="8190" s="96" customFormat="true" ht="13.5"/>
    <row r="8191" s="96" customFormat="true" ht="13.5"/>
    <row r="8192" s="96" customFormat="true" ht="13.5"/>
    <row r="8193" s="96" customFormat="true" ht="13.5"/>
    <row r="8194" s="96" customFormat="true" ht="13.5"/>
    <row r="8195" s="96" customFormat="true" ht="13.5"/>
    <row r="8196" s="96" customFormat="true" ht="13.5"/>
    <row r="8197" s="96" customFormat="true" ht="13.5"/>
    <row r="8198" s="96" customFormat="true" ht="13.5"/>
    <row r="8199" s="96" customFormat="true" ht="13.5"/>
    <row r="8200" s="96" customFormat="true" ht="13.5"/>
    <row r="8201" s="96" customFormat="true" ht="13.5"/>
    <row r="8202" s="96" customFormat="true" ht="13.5"/>
    <row r="8203" s="96" customFormat="true" ht="13.5"/>
    <row r="8204" s="96" customFormat="true" ht="13.5"/>
    <row r="8205" s="96" customFormat="true" ht="13.5"/>
    <row r="8206" s="96" customFormat="true" ht="13.5"/>
    <row r="8207" s="96" customFormat="true" ht="13.5"/>
    <row r="8208" s="96" customFormat="true" ht="13.5"/>
    <row r="8209" s="96" customFormat="true" ht="13.5"/>
    <row r="8210" s="96" customFormat="true" ht="13.5"/>
    <row r="8211" s="96" customFormat="true" ht="13.5"/>
    <row r="8212" s="96" customFormat="true" ht="13.5"/>
    <row r="8213" s="96" customFormat="true" ht="13.5"/>
    <row r="8214" s="96" customFormat="true" ht="13.5"/>
    <row r="8215" s="96" customFormat="true" ht="13.5"/>
    <row r="8216" s="96" customFormat="true" ht="13.5"/>
    <row r="8217" s="96" customFormat="true" ht="13.5"/>
    <row r="8218" s="96" customFormat="true" ht="13.5"/>
    <row r="8219" s="96" customFormat="true" ht="13.5"/>
    <row r="8220" s="96" customFormat="true" ht="13.5"/>
    <row r="8221" s="96" customFormat="true" ht="13.5"/>
    <row r="8222" s="96" customFormat="true" ht="13.5"/>
    <row r="8223" s="96" customFormat="true" ht="13.5"/>
    <row r="8224" s="96" customFormat="true" ht="13.5"/>
    <row r="8225" s="96" customFormat="true" ht="13.5"/>
    <row r="8226" s="96" customFormat="true" ht="13.5"/>
    <row r="8227" s="96" customFormat="true" ht="13.5"/>
    <row r="8228" s="96" customFormat="true" ht="13.5"/>
    <row r="8229" s="96" customFormat="true" ht="13.5"/>
    <row r="8230" s="96" customFormat="true" ht="13.5"/>
    <row r="8231" s="96" customFormat="true" ht="13.5"/>
    <row r="8232" s="96" customFormat="true" ht="13.5"/>
    <row r="8233" s="96" customFormat="true" ht="13.5"/>
    <row r="8234" s="96" customFormat="true" ht="13.5"/>
    <row r="8235" s="96" customFormat="true" ht="13.5"/>
    <row r="8236" s="96" customFormat="true" ht="13.5"/>
    <row r="8237" s="96" customFormat="true" ht="13.5"/>
    <row r="8238" s="96" customFormat="true" ht="13.5"/>
    <row r="8239" s="96" customFormat="true" ht="13.5"/>
    <row r="8240" s="96" customFormat="true" ht="13.5"/>
    <row r="8241" s="96" customFormat="true" ht="13.5"/>
    <row r="8242" s="96" customFormat="true" ht="13.5"/>
    <row r="8243" s="96" customFormat="true" ht="13.5"/>
    <row r="8244" s="96" customFormat="true" ht="13.5"/>
    <row r="8245" s="96" customFormat="true" ht="13.5"/>
    <row r="8246" s="96" customFormat="true" ht="13.5"/>
    <row r="8247" s="96" customFormat="true" ht="13.5"/>
    <row r="8248" s="96" customFormat="true" ht="13.5"/>
    <row r="8249" s="96" customFormat="true" ht="13.5"/>
    <row r="8250" s="96" customFormat="true" ht="13.5"/>
    <row r="8251" s="96" customFormat="true" ht="13.5"/>
    <row r="8252" s="96" customFormat="true" ht="13.5"/>
    <row r="8253" s="96" customFormat="true" ht="13.5"/>
    <row r="8254" s="96" customFormat="true" ht="13.5"/>
    <row r="8255" s="96" customFormat="true" ht="13.5"/>
    <row r="8256" s="96" customFormat="true" ht="13.5"/>
    <row r="8257" s="96" customFormat="true" ht="13.5"/>
    <row r="8258" s="96" customFormat="true" ht="13.5"/>
    <row r="8259" s="96" customFormat="true" ht="13.5"/>
    <row r="8260" s="96" customFormat="true" ht="13.5"/>
    <row r="8261" s="96" customFormat="true" ht="13.5"/>
    <row r="8262" s="96" customFormat="true" ht="13.5"/>
    <row r="8263" s="96" customFormat="true" ht="13.5"/>
    <row r="8264" s="96" customFormat="true" ht="13.5"/>
    <row r="8265" s="96" customFormat="true" ht="13.5"/>
    <row r="8266" s="96" customFormat="true" ht="13.5"/>
    <row r="8267" s="96" customFormat="true" ht="13.5"/>
    <row r="8268" s="96" customFormat="true" ht="13.5"/>
    <row r="8269" s="96" customFormat="true" ht="13.5"/>
    <row r="8270" s="96" customFormat="true" ht="13.5"/>
    <row r="8271" s="96" customFormat="true" ht="13.5"/>
    <row r="8272" s="96" customFormat="true" ht="13.5"/>
    <row r="8273" s="96" customFormat="true" ht="13.5"/>
    <row r="8274" s="96" customFormat="true" ht="13.5"/>
    <row r="8275" s="96" customFormat="true" ht="13.5"/>
    <row r="8276" s="96" customFormat="true" ht="13.5"/>
    <row r="8277" s="96" customFormat="true" ht="13.5"/>
    <row r="8278" s="96" customFormat="true" ht="13.5"/>
    <row r="8279" s="96" customFormat="true" ht="13.5"/>
    <row r="8280" s="96" customFormat="true" ht="13.5"/>
    <row r="8281" s="96" customFormat="true" ht="13.5"/>
    <row r="8282" s="96" customFormat="true" ht="13.5"/>
    <row r="8283" s="96" customFormat="true" ht="13.5"/>
    <row r="8284" s="96" customFormat="true" ht="13.5"/>
    <row r="8285" s="96" customFormat="true" ht="13.5"/>
    <row r="8286" s="96" customFormat="true" ht="13.5"/>
    <row r="8287" s="96" customFormat="true" ht="13.5"/>
    <row r="8288" s="96" customFormat="true" ht="13.5"/>
    <row r="8289" s="96" customFormat="true" ht="13.5"/>
    <row r="8290" s="96" customFormat="true" ht="13.5"/>
    <row r="8291" s="96" customFormat="true" ht="13.5"/>
    <row r="8292" s="96" customFormat="true" ht="13.5"/>
    <row r="8293" s="96" customFormat="true" ht="13.5"/>
    <row r="8294" s="96" customFormat="true" ht="13.5"/>
    <row r="8295" s="96" customFormat="true" ht="13.5"/>
    <row r="8296" s="96" customFormat="true" ht="13.5"/>
    <row r="8297" s="96" customFormat="true" ht="13.5"/>
    <row r="8298" s="96" customFormat="true" ht="13.5"/>
    <row r="8299" s="96" customFormat="true" ht="13.5"/>
    <row r="8300" s="96" customFormat="true" ht="13.5"/>
    <row r="8301" s="96" customFormat="true" ht="13.5"/>
    <row r="8302" s="96" customFormat="true" ht="13.5"/>
    <row r="8303" s="96" customFormat="true" ht="13.5"/>
    <row r="8304" s="96" customFormat="true" ht="13.5"/>
    <row r="8305" s="96" customFormat="true" ht="13.5"/>
    <row r="8306" s="96" customFormat="true" ht="13.5"/>
    <row r="8307" s="96" customFormat="true" ht="13.5"/>
    <row r="8308" s="96" customFormat="true" ht="13.5"/>
    <row r="8309" s="96" customFormat="true" ht="13.5"/>
    <row r="8310" s="96" customFormat="true" ht="13.5"/>
    <row r="8311" s="96" customFormat="true" ht="13.5"/>
    <row r="8312" s="96" customFormat="true" ht="13.5"/>
    <row r="8313" s="96" customFormat="true" ht="13.5"/>
    <row r="8314" s="96" customFormat="true" ht="13.5"/>
    <row r="8315" s="96" customFormat="true" ht="13.5"/>
    <row r="8316" s="96" customFormat="true" ht="13.5"/>
    <row r="8317" s="96" customFormat="true" ht="13.5"/>
    <row r="8318" s="96" customFormat="true" ht="13.5"/>
    <row r="8319" s="96" customFormat="true" ht="13.5"/>
    <row r="8320" s="96" customFormat="true" ht="13.5"/>
    <row r="8321" s="96" customFormat="true" ht="13.5"/>
    <row r="8322" s="96" customFormat="true" ht="13.5"/>
    <row r="8323" s="96" customFormat="true" ht="13.5"/>
    <row r="8324" s="96" customFormat="true" ht="13.5"/>
    <row r="8325" s="96" customFormat="true" ht="13.5"/>
    <row r="8326" s="96" customFormat="true" ht="13.5"/>
    <row r="8327" s="96" customFormat="true" ht="13.5"/>
    <row r="8328" s="96" customFormat="true" ht="13.5"/>
    <row r="8329" s="96" customFormat="true" ht="13.5"/>
    <row r="8330" s="96" customFormat="true" ht="13.5"/>
    <row r="8331" s="96" customFormat="true" ht="13.5"/>
    <row r="8332" s="96" customFormat="true" ht="13.5"/>
    <row r="8333" s="96" customFormat="true" ht="13.5"/>
    <row r="8334" s="96" customFormat="true" ht="13.5"/>
    <row r="8335" s="96" customFormat="true" ht="13.5"/>
    <row r="8336" s="96" customFormat="true" ht="13.5"/>
    <row r="8337" s="96" customFormat="true" ht="13.5"/>
    <row r="8338" s="96" customFormat="true" ht="13.5"/>
    <row r="8339" s="96" customFormat="true" ht="13.5"/>
    <row r="8340" s="96" customFormat="true" ht="13.5"/>
    <row r="8341" s="96" customFormat="true" ht="13.5"/>
    <row r="8342" s="96" customFormat="true" ht="13.5"/>
    <row r="8343" s="96" customFormat="true" ht="13.5"/>
    <row r="8344" s="96" customFormat="true" ht="13.5"/>
    <row r="8345" s="96" customFormat="true" ht="13.5"/>
    <row r="8346" s="96" customFormat="true" ht="13.5"/>
    <row r="8347" s="96" customFormat="true" ht="13.5"/>
    <row r="8348" s="96" customFormat="true" ht="13.5"/>
    <row r="8349" s="96" customFormat="true" ht="13.5"/>
    <row r="8350" s="96" customFormat="true" ht="13.5"/>
    <row r="8351" s="96" customFormat="true" ht="13.5"/>
    <row r="8352" s="96" customFormat="true" ht="13.5"/>
    <row r="8353" s="96" customFormat="true" ht="13.5"/>
    <row r="8354" s="96" customFormat="true" ht="13.5"/>
    <row r="8355" s="96" customFormat="true" ht="13.5"/>
    <row r="8356" s="96" customFormat="true" ht="13.5"/>
    <row r="8357" s="96" customFormat="true" ht="13.5"/>
    <row r="8358" s="96" customFormat="true" ht="13.5"/>
    <row r="8359" s="96" customFormat="true" ht="13.5"/>
    <row r="8360" s="96" customFormat="true" ht="13.5"/>
    <row r="8361" s="96" customFormat="true" ht="13.5"/>
    <row r="8362" s="96" customFormat="true" ht="13.5"/>
    <row r="8363" s="96" customFormat="true" ht="13.5"/>
    <row r="8364" s="96" customFormat="true" ht="13.5"/>
    <row r="8365" s="96" customFormat="true" ht="13.5"/>
    <row r="8366" s="96" customFormat="true" ht="13.5"/>
    <row r="8367" s="96" customFormat="true" ht="13.5"/>
    <row r="8368" s="96" customFormat="true" ht="13.5"/>
    <row r="8369" s="96" customFormat="true" ht="13.5"/>
    <row r="8370" s="96" customFormat="true" ht="13.5"/>
    <row r="8371" s="96" customFormat="true" ht="13.5"/>
    <row r="8372" s="96" customFormat="true" ht="13.5"/>
    <row r="8373" s="96" customFormat="true" ht="13.5"/>
    <row r="8374" s="96" customFormat="true" ht="13.5"/>
    <row r="8375" s="96" customFormat="true" ht="13.5"/>
    <row r="8376" s="96" customFormat="true" ht="13.5"/>
    <row r="8377" s="96" customFormat="true" ht="13.5"/>
    <row r="8378" s="96" customFormat="true" ht="13.5"/>
    <row r="8379" s="96" customFormat="true" ht="13.5"/>
    <row r="8380" s="96" customFormat="true" ht="13.5"/>
    <row r="8381" s="96" customFormat="true" ht="13.5"/>
    <row r="8382" s="96" customFormat="true" ht="13.5"/>
    <row r="8383" s="96" customFormat="true" ht="13.5"/>
    <row r="8384" s="96" customFormat="true" ht="13.5"/>
    <row r="8385" s="96" customFormat="true" ht="13.5"/>
    <row r="8386" s="96" customFormat="true" ht="13.5"/>
    <row r="8387" s="96" customFormat="true" ht="13.5"/>
    <row r="8388" s="96" customFormat="true" ht="13.5"/>
    <row r="8389" s="96" customFormat="true" ht="13.5"/>
    <row r="8390" s="96" customFormat="true" ht="13.5"/>
    <row r="8391" s="96" customFormat="true" ht="13.5"/>
    <row r="8392" s="96" customFormat="true" ht="13.5"/>
    <row r="8393" s="96" customFormat="true" ht="13.5"/>
    <row r="8394" s="96" customFormat="true" ht="13.5"/>
    <row r="8395" s="96" customFormat="true" ht="13.5"/>
    <row r="8396" s="96" customFormat="true" ht="13.5"/>
    <row r="8397" s="96" customFormat="true" ht="13.5"/>
    <row r="8398" s="96" customFormat="true" ht="13.5"/>
    <row r="8399" s="96" customFormat="true" ht="13.5"/>
    <row r="8400" s="96" customFormat="true" ht="13.5"/>
    <row r="8401" s="96" customFormat="true" ht="13.5"/>
    <row r="8402" s="96" customFormat="true" ht="13.5"/>
    <row r="8403" s="96" customFormat="true" ht="13.5"/>
    <row r="8404" s="96" customFormat="true" ht="13.5"/>
    <row r="8405" s="96" customFormat="true" ht="13.5"/>
    <row r="8406" s="96" customFormat="true" ht="13.5"/>
    <row r="8407" s="96" customFormat="true" ht="13.5"/>
    <row r="8408" s="96" customFormat="true" ht="13.5"/>
    <row r="8409" s="96" customFormat="true" ht="13.5"/>
    <row r="8410" s="96" customFormat="true" ht="13.5"/>
    <row r="8411" s="96" customFormat="true" ht="13.5"/>
    <row r="8412" s="96" customFormat="true" ht="13.5"/>
    <row r="8413" s="96" customFormat="true" ht="13.5"/>
    <row r="8414" s="96" customFormat="true" ht="13.5"/>
    <row r="8415" s="96" customFormat="true" ht="13.5"/>
    <row r="8416" s="96" customFormat="true" ht="13.5"/>
    <row r="8417" s="96" customFormat="true" ht="13.5"/>
    <row r="8418" s="96" customFormat="true" ht="13.5"/>
    <row r="8419" s="96" customFormat="true" ht="13.5"/>
    <row r="8420" s="96" customFormat="true" ht="13.5"/>
    <row r="8421" s="96" customFormat="true" ht="13.5"/>
    <row r="8422" s="96" customFormat="true" ht="13.5"/>
    <row r="8423" s="96" customFormat="true" ht="13.5"/>
    <row r="8424" s="96" customFormat="true" ht="13.5"/>
    <row r="8425" s="96" customFormat="true" ht="13.5"/>
    <row r="8426" s="96" customFormat="true" ht="13.5"/>
    <row r="8427" s="96" customFormat="true" ht="13.5"/>
    <row r="8428" s="96" customFormat="true" ht="13.5"/>
    <row r="8429" s="96" customFormat="true" ht="13.5"/>
    <row r="8430" s="96" customFormat="true" ht="13.5"/>
    <row r="8431" s="96" customFormat="true" ht="13.5"/>
    <row r="8432" s="96" customFormat="true" ht="13.5"/>
    <row r="8433" s="96" customFormat="true" ht="13.5"/>
    <row r="8434" s="96" customFormat="true" ht="13.5"/>
    <row r="8435" s="96" customFormat="true" ht="13.5"/>
    <row r="8436" s="96" customFormat="true" ht="13.5"/>
    <row r="8437" s="96" customFormat="true" ht="13.5"/>
    <row r="8438" s="96" customFormat="true" ht="13.5"/>
    <row r="8439" s="96" customFormat="true" ht="13.5"/>
    <row r="8440" s="96" customFormat="true" ht="13.5"/>
    <row r="8441" s="96" customFormat="true" ht="13.5"/>
    <row r="8442" s="96" customFormat="true" ht="13.5"/>
    <row r="8443" s="96" customFormat="true" ht="13.5"/>
    <row r="8444" s="96" customFormat="true" ht="13.5"/>
    <row r="8445" s="96" customFormat="true" ht="13.5"/>
    <row r="8446" s="96" customFormat="true" ht="13.5"/>
    <row r="8447" s="96" customFormat="true" ht="13.5"/>
    <row r="8448" s="96" customFormat="true" ht="13.5"/>
    <row r="8449" s="96" customFormat="true" ht="13.5"/>
    <row r="8450" s="96" customFormat="true" ht="13.5"/>
    <row r="8451" s="96" customFormat="true" ht="13.5"/>
    <row r="8452" s="96" customFormat="true" ht="13.5"/>
    <row r="8453" s="96" customFormat="true" ht="13.5"/>
    <row r="8454" s="96" customFormat="true" ht="13.5"/>
    <row r="8455" s="96" customFormat="true" ht="13.5"/>
    <row r="8456" s="96" customFormat="true" ht="13.5"/>
    <row r="8457" s="96" customFormat="true" ht="13.5"/>
    <row r="8458" s="96" customFormat="true" ht="13.5"/>
    <row r="8459" s="96" customFormat="true" ht="13.5"/>
    <row r="8460" s="96" customFormat="true" ht="13.5"/>
    <row r="8461" s="96" customFormat="true" ht="13.5"/>
    <row r="8462" s="96" customFormat="true" ht="13.5"/>
    <row r="8463" s="96" customFormat="true" ht="13.5"/>
    <row r="8464" s="96" customFormat="true" ht="13.5"/>
    <row r="8465" s="96" customFormat="true" ht="13.5"/>
    <row r="8466" s="96" customFormat="true" ht="13.5"/>
    <row r="8467" s="96" customFormat="true" ht="13.5"/>
    <row r="8468" s="96" customFormat="true" ht="13.5"/>
    <row r="8469" s="96" customFormat="true" ht="13.5"/>
    <row r="8470" s="96" customFormat="true" ht="13.5"/>
    <row r="8471" s="96" customFormat="true" ht="13.5"/>
    <row r="8472" s="96" customFormat="true" ht="13.5"/>
    <row r="8473" s="96" customFormat="true" ht="13.5"/>
    <row r="8474" s="96" customFormat="true" ht="13.5"/>
    <row r="8475" s="96" customFormat="true" ht="13.5"/>
    <row r="8476" s="96" customFormat="true" ht="13.5"/>
    <row r="8477" s="96" customFormat="true" ht="13.5"/>
    <row r="8478" s="96" customFormat="true" ht="13.5"/>
    <row r="8479" s="96" customFormat="true" ht="13.5"/>
    <row r="8480" s="96" customFormat="true" ht="13.5"/>
    <row r="8481" s="96" customFormat="true" ht="13.5"/>
    <row r="8482" s="96" customFormat="true" ht="13.5"/>
    <row r="8483" s="96" customFormat="true" ht="13.5"/>
    <row r="8484" s="96" customFormat="true" ht="13.5"/>
    <row r="8485" s="96" customFormat="true" ht="13.5"/>
    <row r="8486" s="96" customFormat="true" ht="13.5"/>
    <row r="8487" s="96" customFormat="true" ht="13.5"/>
    <row r="8488" s="96" customFormat="true" ht="13.5"/>
    <row r="8489" s="96" customFormat="true" ht="13.5"/>
    <row r="8490" s="96" customFormat="true" ht="13.5"/>
    <row r="8491" s="96" customFormat="true" ht="13.5"/>
    <row r="8492" s="96" customFormat="true" ht="13.5"/>
    <row r="8493" s="96" customFormat="true" ht="13.5"/>
    <row r="8494" s="96" customFormat="true" ht="13.5"/>
    <row r="8495" s="96" customFormat="true" ht="13.5"/>
    <row r="8496" s="96" customFormat="true" ht="13.5"/>
    <row r="8497" s="96" customFormat="true" ht="13.5"/>
    <row r="8498" s="96" customFormat="true" ht="13.5"/>
    <row r="8499" s="96" customFormat="true" ht="13.5"/>
    <row r="8500" s="96" customFormat="true" ht="13.5"/>
    <row r="8501" s="96" customFormat="true" ht="13.5"/>
    <row r="8502" s="96" customFormat="true" ht="13.5"/>
    <row r="8503" s="96" customFormat="true" ht="13.5"/>
    <row r="8504" s="96" customFormat="true" ht="13.5"/>
    <row r="8505" s="96" customFormat="true" ht="13.5"/>
    <row r="8506" s="96" customFormat="true" ht="13.5"/>
    <row r="8507" s="96" customFormat="true" ht="13.5"/>
    <row r="8508" s="96" customFormat="true" ht="13.5"/>
    <row r="8509" s="96" customFormat="true" ht="13.5"/>
    <row r="8510" s="96" customFormat="true" ht="13.5"/>
    <row r="8511" s="96" customFormat="true" ht="13.5"/>
    <row r="8512" s="96" customFormat="true" ht="13.5"/>
    <row r="8513" s="96" customFormat="true" ht="13.5"/>
    <row r="8514" s="96" customFormat="true" ht="13.5"/>
    <row r="8515" s="96" customFormat="true" ht="13.5"/>
    <row r="8516" s="96" customFormat="true" ht="13.5"/>
    <row r="8517" s="96" customFormat="true" ht="13.5"/>
    <row r="8518" s="96" customFormat="true" ht="13.5"/>
    <row r="8519" s="96" customFormat="true" ht="13.5"/>
    <row r="8520" s="96" customFormat="true" ht="13.5"/>
    <row r="8521" s="96" customFormat="true" ht="13.5"/>
    <row r="8522" s="96" customFormat="true" ht="13.5"/>
    <row r="8523" s="96" customFormat="true" ht="13.5"/>
    <row r="8524" s="96" customFormat="true" ht="13.5"/>
    <row r="8525" s="96" customFormat="true" ht="13.5"/>
    <row r="8526" s="96" customFormat="true" ht="13.5"/>
    <row r="8527" s="96" customFormat="true" ht="13.5"/>
    <row r="8528" s="96" customFormat="true" ht="13.5"/>
    <row r="8529" s="96" customFormat="true" ht="13.5"/>
    <row r="8530" s="96" customFormat="true" ht="13.5"/>
    <row r="8531" s="96" customFormat="true" ht="13.5"/>
    <row r="8532" s="96" customFormat="true" ht="13.5"/>
    <row r="8533" s="96" customFormat="true" ht="13.5"/>
    <row r="8534" s="96" customFormat="true" ht="13.5"/>
    <row r="8535" s="96" customFormat="true" ht="13.5"/>
    <row r="8536" s="96" customFormat="true" ht="13.5"/>
    <row r="8537" s="96" customFormat="true" ht="13.5"/>
    <row r="8538" s="96" customFormat="true" ht="13.5"/>
    <row r="8539" s="96" customFormat="true" ht="13.5"/>
    <row r="8540" s="96" customFormat="true" ht="13.5"/>
    <row r="8541" s="96" customFormat="true" ht="13.5"/>
    <row r="8542" s="96" customFormat="true" ht="13.5"/>
    <row r="8543" s="96" customFormat="true" ht="13.5"/>
    <row r="8544" s="96" customFormat="true" ht="13.5"/>
    <row r="8545" s="96" customFormat="true" ht="13.5"/>
    <row r="8546" s="96" customFormat="true" ht="13.5"/>
    <row r="8547" s="96" customFormat="true" ht="13.5"/>
    <row r="8548" s="96" customFormat="true" ht="13.5"/>
    <row r="8549" s="96" customFormat="true" ht="13.5"/>
    <row r="8550" s="96" customFormat="true" ht="13.5"/>
    <row r="8551" s="96" customFormat="true" ht="13.5"/>
    <row r="8552" s="96" customFormat="true" ht="13.5"/>
    <row r="8553" s="96" customFormat="true" ht="13.5"/>
    <row r="8554" s="96" customFormat="true" ht="13.5"/>
    <row r="8555" s="96" customFormat="true" ht="13.5"/>
    <row r="8556" s="96" customFormat="true" ht="13.5"/>
    <row r="8557" s="96" customFormat="true" ht="13.5"/>
    <row r="8558" s="96" customFormat="true" ht="13.5"/>
    <row r="8559" s="96" customFormat="true" ht="13.5"/>
    <row r="8560" s="96" customFormat="true" ht="13.5"/>
    <row r="8561" s="96" customFormat="true" ht="13.5"/>
    <row r="8562" s="96" customFormat="true" ht="13.5"/>
    <row r="8563" s="96" customFormat="true" ht="13.5"/>
    <row r="8564" s="96" customFormat="true" ht="13.5"/>
    <row r="8565" s="96" customFormat="true" ht="13.5"/>
    <row r="8566" s="96" customFormat="true" ht="13.5"/>
    <row r="8567" s="96" customFormat="true" ht="13.5"/>
    <row r="8568" s="96" customFormat="true" ht="13.5"/>
    <row r="8569" s="96" customFormat="true" ht="13.5"/>
    <row r="8570" s="96" customFormat="true" ht="13.5"/>
    <row r="8571" s="96" customFormat="true" ht="13.5"/>
    <row r="8572" s="96" customFormat="true" ht="13.5"/>
    <row r="8573" s="96" customFormat="true" ht="13.5"/>
    <row r="8574" s="96" customFormat="true" ht="13.5"/>
    <row r="8575" s="96" customFormat="true" ht="13.5"/>
    <row r="8576" s="96" customFormat="true" ht="13.5"/>
    <row r="8577" s="96" customFormat="true" ht="13.5"/>
    <row r="8578" s="96" customFormat="true" ht="13.5"/>
    <row r="8579" s="96" customFormat="true" ht="13.5"/>
    <row r="8580" s="96" customFormat="true" ht="13.5"/>
    <row r="8581" s="96" customFormat="true" ht="13.5"/>
    <row r="8582" s="96" customFormat="true" ht="13.5"/>
    <row r="8583" s="96" customFormat="true" ht="13.5"/>
    <row r="8584" s="96" customFormat="true" ht="13.5"/>
    <row r="8585" s="96" customFormat="true" ht="13.5"/>
    <row r="8586" s="96" customFormat="true" ht="13.5"/>
    <row r="8587" s="96" customFormat="true" ht="13.5"/>
    <row r="8588" s="96" customFormat="true" ht="13.5"/>
    <row r="8589" s="96" customFormat="true" ht="13.5"/>
    <row r="8590" s="96" customFormat="true" ht="13.5"/>
    <row r="8591" s="96" customFormat="true" ht="13.5"/>
    <row r="8592" s="96" customFormat="true" ht="13.5"/>
    <row r="8593" s="96" customFormat="true" ht="13.5"/>
    <row r="8594" s="96" customFormat="true" ht="13.5"/>
    <row r="8595" s="96" customFormat="true" ht="13.5"/>
    <row r="8596" s="96" customFormat="true" ht="13.5"/>
    <row r="8597" s="96" customFormat="true" ht="13.5"/>
    <row r="8598" s="96" customFormat="true" ht="13.5"/>
    <row r="8599" s="96" customFormat="true" ht="13.5"/>
    <row r="8600" s="96" customFormat="true" ht="13.5"/>
    <row r="8601" s="96" customFormat="true" ht="13.5"/>
    <row r="8602" s="96" customFormat="true" ht="13.5"/>
    <row r="8603" s="96" customFormat="true" ht="13.5"/>
    <row r="8604" s="96" customFormat="true" ht="13.5"/>
    <row r="8605" s="96" customFormat="true" ht="13.5"/>
    <row r="8606" s="96" customFormat="true" ht="13.5"/>
    <row r="8607" s="96" customFormat="true" ht="13.5"/>
    <row r="8608" s="96" customFormat="true" ht="13.5"/>
    <row r="8609" s="96" customFormat="true" ht="13.5"/>
    <row r="8610" s="96" customFormat="true" ht="13.5"/>
    <row r="8611" s="96" customFormat="true" ht="13.5"/>
    <row r="8612" s="96" customFormat="true" ht="13.5"/>
    <row r="8613" s="96" customFormat="true" ht="13.5"/>
    <row r="8614" s="96" customFormat="true" ht="13.5"/>
    <row r="8615" s="96" customFormat="true" ht="13.5"/>
    <row r="8616" s="96" customFormat="true" ht="13.5"/>
    <row r="8617" s="96" customFormat="true" ht="13.5"/>
    <row r="8618" s="96" customFormat="true" ht="13.5"/>
    <row r="8619" s="96" customFormat="true" ht="13.5"/>
    <row r="8620" s="96" customFormat="true" ht="13.5"/>
    <row r="8621" s="96" customFormat="true" ht="13.5"/>
    <row r="8622" s="96" customFormat="true" ht="13.5"/>
    <row r="8623" s="96" customFormat="true" ht="13.5"/>
    <row r="8624" s="96" customFormat="true" ht="13.5"/>
    <row r="8625" s="96" customFormat="true" ht="13.5"/>
    <row r="8626" s="96" customFormat="true" ht="13.5"/>
    <row r="8627" s="96" customFormat="true" ht="13.5"/>
    <row r="8628" s="96" customFormat="true" ht="13.5"/>
    <row r="8629" s="96" customFormat="true" ht="13.5"/>
    <row r="8630" s="96" customFormat="true" ht="13.5"/>
    <row r="8631" s="96" customFormat="true" ht="13.5"/>
    <row r="8632" s="96" customFormat="true" ht="13.5"/>
    <row r="8633" s="96" customFormat="true" ht="13.5"/>
    <row r="8634" s="96" customFormat="true" ht="13.5"/>
    <row r="8635" s="96" customFormat="true" ht="13.5"/>
    <row r="8636" s="96" customFormat="true" ht="13.5"/>
    <row r="8637" s="96" customFormat="true" ht="13.5"/>
    <row r="8638" s="96" customFormat="true" ht="13.5"/>
    <row r="8639" s="96" customFormat="true" ht="13.5"/>
    <row r="8640" s="96" customFormat="true" ht="13.5"/>
    <row r="8641" s="96" customFormat="true" ht="13.5"/>
    <row r="8642" s="96" customFormat="true" ht="13.5"/>
    <row r="8643" s="96" customFormat="true" ht="13.5"/>
    <row r="8644" s="96" customFormat="true" ht="13.5"/>
    <row r="8645" s="96" customFormat="true" ht="13.5"/>
    <row r="8646" s="96" customFormat="true" ht="13.5"/>
    <row r="8647" s="96" customFormat="true" ht="13.5"/>
    <row r="8648" s="96" customFormat="true" ht="13.5"/>
    <row r="8649" s="96" customFormat="true" ht="13.5"/>
    <row r="8650" s="96" customFormat="true" ht="13.5"/>
    <row r="8651" s="96" customFormat="true" ht="13.5"/>
    <row r="8652" s="96" customFormat="true" ht="13.5"/>
    <row r="8653" s="96" customFormat="true" ht="13.5"/>
    <row r="8654" s="96" customFormat="true" ht="13.5"/>
    <row r="8655" s="96" customFormat="true" ht="13.5"/>
    <row r="8656" s="96" customFormat="true" ht="13.5"/>
    <row r="8657" s="96" customFormat="true" ht="13.5"/>
    <row r="8658" s="96" customFormat="true" ht="13.5"/>
    <row r="8659" s="96" customFormat="true" ht="13.5"/>
    <row r="8660" s="96" customFormat="true" ht="13.5"/>
    <row r="8661" s="96" customFormat="true" ht="13.5"/>
    <row r="8662" s="96" customFormat="true" ht="13.5"/>
    <row r="8663" s="96" customFormat="true" ht="13.5"/>
    <row r="8664" s="96" customFormat="true" ht="13.5"/>
    <row r="8665" s="96" customFormat="true" ht="13.5"/>
    <row r="8666" s="96" customFormat="true" ht="13.5"/>
    <row r="8667" s="96" customFormat="true" ht="13.5"/>
    <row r="8668" s="96" customFormat="true" ht="13.5"/>
    <row r="8669" s="96" customFormat="true" ht="13.5"/>
    <row r="8670" s="96" customFormat="true" ht="13.5"/>
    <row r="8671" s="96" customFormat="true" ht="13.5"/>
    <row r="8672" s="96" customFormat="true" ht="13.5"/>
    <row r="8673" s="96" customFormat="true" ht="13.5"/>
    <row r="8674" s="96" customFormat="true" ht="13.5"/>
    <row r="8675" s="96" customFormat="true" ht="13.5"/>
    <row r="8676" s="96" customFormat="true" ht="13.5"/>
    <row r="8677" s="96" customFormat="true" ht="13.5"/>
    <row r="8678" s="96" customFormat="true" ht="13.5"/>
    <row r="8679" s="96" customFormat="true" ht="13.5"/>
    <row r="8680" s="96" customFormat="true" ht="13.5"/>
    <row r="8681" s="96" customFormat="true" ht="13.5"/>
    <row r="8682" s="96" customFormat="true" ht="13.5"/>
    <row r="8683" s="96" customFormat="true" ht="13.5"/>
    <row r="8684" s="96" customFormat="true" ht="13.5"/>
    <row r="8685" s="96" customFormat="true" ht="13.5"/>
    <row r="8686" s="96" customFormat="true" ht="13.5"/>
    <row r="8687" s="96" customFormat="true" ht="13.5"/>
    <row r="8688" s="96" customFormat="true" ht="13.5"/>
    <row r="8689" s="96" customFormat="true" ht="13.5"/>
    <row r="8690" s="96" customFormat="true" ht="13.5"/>
    <row r="8691" s="96" customFormat="true" ht="13.5"/>
    <row r="8692" s="96" customFormat="true" ht="13.5"/>
    <row r="8693" s="96" customFormat="true" ht="13.5"/>
    <row r="8694" s="96" customFormat="true" ht="13.5"/>
    <row r="8695" s="96" customFormat="true" ht="13.5"/>
    <row r="8696" s="96" customFormat="true" ht="13.5"/>
    <row r="8697" s="96" customFormat="true" ht="13.5"/>
    <row r="8698" s="96" customFormat="true" ht="13.5"/>
    <row r="8699" s="96" customFormat="true" ht="13.5"/>
    <row r="8700" s="96" customFormat="true" ht="13.5"/>
    <row r="8701" s="96" customFormat="true" ht="13.5"/>
    <row r="8702" s="96" customFormat="true" ht="13.5"/>
    <row r="8703" s="96" customFormat="true" ht="13.5"/>
    <row r="8704" s="96" customFormat="true" ht="13.5"/>
    <row r="8705" s="96" customFormat="true" ht="13.5"/>
    <row r="8706" s="96" customFormat="true" ht="13.5"/>
    <row r="8707" s="96" customFormat="true" ht="13.5"/>
    <row r="8708" s="96" customFormat="true" ht="13.5"/>
    <row r="8709" s="96" customFormat="true" ht="13.5"/>
    <row r="8710" s="96" customFormat="true" ht="13.5"/>
    <row r="8711" s="96" customFormat="true" ht="13.5"/>
    <row r="8712" s="96" customFormat="true" ht="13.5"/>
    <row r="8713" s="96" customFormat="true" ht="13.5"/>
    <row r="8714" s="96" customFormat="true" ht="13.5"/>
    <row r="8715" s="96" customFormat="true" ht="13.5"/>
    <row r="8716" s="96" customFormat="true" ht="13.5"/>
    <row r="8717" s="96" customFormat="true" ht="13.5"/>
    <row r="8718" s="96" customFormat="true" ht="13.5"/>
    <row r="8719" s="96" customFormat="true" ht="13.5"/>
    <row r="8720" s="96" customFormat="true" ht="13.5"/>
    <row r="8721" s="96" customFormat="true" ht="13.5"/>
    <row r="8722" s="96" customFormat="true" ht="13.5"/>
    <row r="8723" s="96" customFormat="true" ht="13.5"/>
    <row r="8724" s="96" customFormat="true" ht="13.5"/>
    <row r="8725" s="96" customFormat="true" ht="13.5"/>
    <row r="8726" s="96" customFormat="true" ht="13.5"/>
    <row r="8727" s="96" customFormat="true" ht="13.5"/>
    <row r="8728" s="96" customFormat="true" ht="13.5"/>
    <row r="8729" s="96" customFormat="true" ht="13.5"/>
    <row r="8730" s="96" customFormat="true" ht="13.5"/>
    <row r="8731" s="96" customFormat="true" ht="13.5"/>
    <row r="8732" s="96" customFormat="true" ht="13.5"/>
    <row r="8733" s="96" customFormat="true" ht="13.5"/>
    <row r="8734" s="96" customFormat="true" ht="13.5"/>
    <row r="8735" s="96" customFormat="true" ht="13.5"/>
    <row r="8736" s="96" customFormat="true" ht="13.5"/>
    <row r="8737" s="96" customFormat="true" ht="13.5"/>
    <row r="8738" s="96" customFormat="true" ht="13.5"/>
    <row r="8739" s="96" customFormat="true" ht="13.5"/>
    <row r="8740" s="96" customFormat="true" ht="13.5"/>
    <row r="8741" s="96" customFormat="true" ht="13.5"/>
    <row r="8742" s="96" customFormat="true" ht="13.5"/>
    <row r="8743" s="96" customFormat="true" ht="13.5"/>
    <row r="8744" s="96" customFormat="true" ht="13.5"/>
    <row r="8745" s="96" customFormat="true" ht="13.5"/>
    <row r="8746" s="96" customFormat="true" ht="13.5"/>
    <row r="8747" s="96" customFormat="true" ht="13.5"/>
    <row r="8748" s="96" customFormat="true" ht="13.5"/>
    <row r="8749" s="96" customFormat="true" ht="13.5"/>
    <row r="8750" s="96" customFormat="true" ht="13.5"/>
    <row r="8751" s="96" customFormat="true" ht="13.5"/>
    <row r="8752" s="96" customFormat="true" ht="13.5"/>
    <row r="8753" s="96" customFormat="true" ht="13.5"/>
    <row r="8754" s="96" customFormat="true" ht="13.5"/>
    <row r="8755" s="96" customFormat="true" ht="13.5"/>
    <row r="8756" s="96" customFormat="true" ht="13.5"/>
    <row r="8757" s="96" customFormat="true" ht="13.5"/>
    <row r="8758" s="96" customFormat="true" ht="13.5"/>
    <row r="8759" s="96" customFormat="true" ht="13.5"/>
    <row r="8760" s="96" customFormat="true" ht="13.5"/>
    <row r="8761" s="96" customFormat="true" ht="13.5"/>
    <row r="8762" s="96" customFormat="true" ht="13.5"/>
    <row r="8763" s="96" customFormat="true" ht="13.5"/>
    <row r="8764" s="96" customFormat="true" ht="13.5"/>
    <row r="8765" s="96" customFormat="true" ht="13.5"/>
    <row r="8766" s="96" customFormat="true" ht="13.5"/>
    <row r="8767" s="96" customFormat="true" ht="13.5"/>
    <row r="8768" s="96" customFormat="true" ht="13.5"/>
    <row r="8769" s="96" customFormat="true" ht="13.5"/>
    <row r="8770" s="96" customFormat="true" ht="13.5"/>
    <row r="8771" s="96" customFormat="true" ht="13.5"/>
    <row r="8772" s="96" customFormat="true" ht="13.5"/>
    <row r="8773" s="96" customFormat="true" ht="13.5"/>
    <row r="8774" s="96" customFormat="true" ht="13.5"/>
    <row r="8775" s="96" customFormat="true" ht="13.5"/>
    <row r="8776" s="96" customFormat="true" ht="13.5"/>
    <row r="8777" s="96" customFormat="true" ht="13.5"/>
    <row r="8778" s="96" customFormat="true" ht="13.5"/>
    <row r="8779" s="96" customFormat="true" ht="13.5"/>
    <row r="8780" s="96" customFormat="true" ht="13.5"/>
    <row r="8781" s="96" customFormat="true" ht="13.5"/>
    <row r="8782" s="96" customFormat="true" ht="13.5"/>
    <row r="8783" s="96" customFormat="true" ht="13.5"/>
    <row r="8784" s="96" customFormat="true" ht="13.5"/>
    <row r="8785" s="96" customFormat="true" ht="13.5"/>
    <row r="8786" s="96" customFormat="true" ht="13.5"/>
    <row r="8787" s="96" customFormat="true" ht="13.5"/>
    <row r="8788" s="96" customFormat="true" ht="13.5"/>
    <row r="8789" s="96" customFormat="true" ht="13.5"/>
    <row r="8790" s="96" customFormat="true" ht="13.5"/>
    <row r="8791" s="96" customFormat="true" ht="13.5"/>
    <row r="8792" s="96" customFormat="true" ht="13.5"/>
    <row r="8793" s="96" customFormat="true" ht="13.5"/>
    <row r="8794" s="96" customFormat="true" ht="13.5"/>
    <row r="8795" s="96" customFormat="true" ht="13.5"/>
    <row r="8796" s="96" customFormat="true" ht="13.5"/>
    <row r="8797" s="96" customFormat="true" ht="13.5"/>
    <row r="8798" s="96" customFormat="true" ht="13.5"/>
    <row r="8799" s="96" customFormat="true" ht="13.5"/>
    <row r="8800" s="96" customFormat="true" ht="13.5"/>
    <row r="8801" s="96" customFormat="true" ht="13.5"/>
    <row r="8802" s="96" customFormat="true" ht="13.5"/>
    <row r="8803" s="96" customFormat="true" ht="13.5"/>
    <row r="8804" s="96" customFormat="true" ht="13.5"/>
    <row r="8805" s="96" customFormat="true" ht="13.5"/>
    <row r="8806" s="96" customFormat="true" ht="13.5"/>
    <row r="8807" s="96" customFormat="true" ht="13.5"/>
    <row r="8808" s="96" customFormat="true" ht="13.5"/>
    <row r="8809" s="96" customFormat="true" ht="13.5"/>
    <row r="8810" s="96" customFormat="true" ht="13.5"/>
    <row r="8811" s="96" customFormat="true" ht="13.5"/>
    <row r="8812" s="96" customFormat="true" ht="13.5"/>
    <row r="8813" s="96" customFormat="true" ht="13.5"/>
    <row r="8814" s="96" customFormat="true" ht="13.5"/>
    <row r="8815" s="96" customFormat="true" ht="13.5"/>
    <row r="8816" s="96" customFormat="true" ht="13.5"/>
    <row r="8817" s="96" customFormat="true" ht="13.5"/>
    <row r="8818" s="96" customFormat="true" ht="13.5"/>
    <row r="8819" s="96" customFormat="true" ht="13.5"/>
    <row r="8820" s="96" customFormat="true" ht="13.5"/>
    <row r="8821" s="96" customFormat="true" ht="13.5"/>
    <row r="8822" s="96" customFormat="true" ht="13.5"/>
    <row r="8823" s="96" customFormat="true" ht="13.5"/>
    <row r="8824" s="96" customFormat="true" ht="13.5"/>
    <row r="8825" s="96" customFormat="true" ht="13.5"/>
    <row r="8826" s="96" customFormat="true" ht="13.5"/>
    <row r="8827" s="96" customFormat="true" ht="13.5"/>
    <row r="8828" s="96" customFormat="true" ht="13.5"/>
    <row r="8829" s="96" customFormat="true" ht="13.5"/>
    <row r="8830" s="96" customFormat="true" ht="13.5"/>
    <row r="8831" s="96" customFormat="true" ht="13.5"/>
    <row r="8832" s="96" customFormat="true" ht="13.5"/>
    <row r="8833" s="96" customFormat="true" ht="13.5"/>
    <row r="8834" s="96" customFormat="true" ht="13.5"/>
    <row r="8835" s="96" customFormat="true" ht="13.5"/>
    <row r="8836" s="96" customFormat="true" ht="13.5"/>
    <row r="8837" s="96" customFormat="true" ht="13.5"/>
    <row r="8838" s="96" customFormat="true" ht="13.5"/>
    <row r="8839" s="96" customFormat="true" ht="13.5"/>
    <row r="8840" s="96" customFormat="true" ht="13.5"/>
    <row r="8841" s="96" customFormat="true" ht="13.5"/>
    <row r="8842" s="96" customFormat="true" ht="13.5"/>
    <row r="8843" s="96" customFormat="true" ht="13.5"/>
    <row r="8844" s="96" customFormat="true" ht="13.5"/>
    <row r="8845" s="96" customFormat="true" ht="13.5"/>
    <row r="8846" s="96" customFormat="true" ht="13.5"/>
    <row r="8847" s="96" customFormat="true" ht="13.5"/>
    <row r="8848" s="96" customFormat="true" ht="13.5"/>
    <row r="8849" s="96" customFormat="true" ht="13.5"/>
    <row r="8850" s="96" customFormat="true" ht="13.5"/>
    <row r="8851" s="96" customFormat="true" ht="13.5"/>
    <row r="8852" s="96" customFormat="true" ht="13.5"/>
    <row r="8853" s="96" customFormat="true" ht="13.5"/>
    <row r="8854" s="96" customFormat="true" ht="13.5"/>
    <row r="8855" s="96" customFormat="true" ht="13.5"/>
    <row r="8856" s="96" customFormat="true" ht="13.5"/>
    <row r="8857" s="96" customFormat="true" ht="13.5"/>
    <row r="8858" s="96" customFormat="true" ht="13.5"/>
    <row r="8859" s="96" customFormat="true" ht="13.5"/>
    <row r="8860" s="96" customFormat="true" ht="13.5"/>
    <row r="8861" s="96" customFormat="true" ht="13.5"/>
    <row r="8862" s="96" customFormat="true" ht="13.5"/>
    <row r="8863" s="96" customFormat="true" ht="13.5"/>
    <row r="8864" s="96" customFormat="true" ht="13.5"/>
    <row r="8865" s="96" customFormat="true" ht="13.5"/>
    <row r="8866" s="96" customFormat="true" ht="13.5"/>
    <row r="8867" s="96" customFormat="true" ht="13.5"/>
    <row r="8868" s="96" customFormat="true" ht="13.5"/>
    <row r="8869" s="96" customFormat="true" ht="13.5"/>
    <row r="8870" s="96" customFormat="true" ht="13.5"/>
    <row r="8871" s="96" customFormat="true" ht="13.5"/>
    <row r="8872" s="96" customFormat="true" ht="13.5"/>
    <row r="8873" s="96" customFormat="true" ht="13.5"/>
    <row r="8874" s="96" customFormat="true" ht="13.5"/>
    <row r="8875" s="96" customFormat="true" ht="13.5"/>
    <row r="8876" s="96" customFormat="true" ht="13.5"/>
    <row r="8877" s="96" customFormat="true" ht="13.5"/>
    <row r="8878" s="96" customFormat="true" ht="13.5"/>
    <row r="8879" s="96" customFormat="true" ht="13.5"/>
    <row r="8880" s="96" customFormat="true" ht="13.5"/>
    <row r="8881" s="96" customFormat="true" ht="13.5"/>
    <row r="8882" s="96" customFormat="true" ht="13.5"/>
    <row r="8883" s="96" customFormat="true" ht="13.5"/>
    <row r="8884" s="96" customFormat="true" ht="13.5"/>
    <row r="8885" s="96" customFormat="true" ht="13.5"/>
    <row r="8886" s="96" customFormat="true" ht="13.5"/>
    <row r="8887" s="96" customFormat="true" ht="13.5"/>
    <row r="8888" s="96" customFormat="true" ht="13.5"/>
    <row r="8889" s="96" customFormat="true" ht="13.5"/>
    <row r="8890" s="96" customFormat="true" ht="13.5"/>
    <row r="8891" s="96" customFormat="true" ht="13.5"/>
    <row r="8892" s="96" customFormat="true" ht="13.5"/>
    <row r="8893" s="96" customFormat="true" ht="13.5"/>
    <row r="8894" s="96" customFormat="true" ht="13.5"/>
    <row r="8895" s="96" customFormat="true" ht="13.5"/>
    <row r="8896" s="96" customFormat="true" ht="13.5"/>
    <row r="8897" s="96" customFormat="true" ht="13.5"/>
    <row r="8898" s="96" customFormat="true" ht="13.5"/>
    <row r="8899" s="96" customFormat="true" ht="13.5"/>
    <row r="8900" s="96" customFormat="true" ht="13.5"/>
    <row r="8901" s="96" customFormat="true" ht="13.5"/>
    <row r="8902" s="96" customFormat="true" ht="13.5"/>
    <row r="8903" s="96" customFormat="true" ht="13.5"/>
    <row r="8904" s="96" customFormat="true" ht="13.5"/>
    <row r="8905" s="96" customFormat="true" ht="13.5"/>
    <row r="8906" s="96" customFormat="true" ht="13.5"/>
    <row r="8907" s="96" customFormat="true" ht="13.5"/>
    <row r="8908" s="96" customFormat="true" ht="13.5"/>
    <row r="8909" s="96" customFormat="true" ht="13.5"/>
    <row r="8910" s="96" customFormat="true" ht="13.5"/>
    <row r="8911" s="96" customFormat="true" ht="13.5"/>
    <row r="8912" s="96" customFormat="true" ht="13.5"/>
    <row r="8913" s="96" customFormat="true" ht="13.5"/>
    <row r="8914" s="96" customFormat="true" ht="13.5"/>
    <row r="8915" s="96" customFormat="true" ht="13.5"/>
    <row r="8916" s="96" customFormat="true" ht="13.5"/>
    <row r="8917" s="96" customFormat="true" ht="13.5"/>
    <row r="8918" s="96" customFormat="true" ht="13.5"/>
    <row r="8919" s="96" customFormat="true" ht="13.5"/>
    <row r="8920" s="96" customFormat="true" ht="13.5"/>
    <row r="8921" s="96" customFormat="true" ht="13.5"/>
    <row r="8922" s="96" customFormat="true" ht="13.5"/>
    <row r="8923" s="96" customFormat="true" ht="13.5"/>
    <row r="8924" s="96" customFormat="true" ht="13.5"/>
    <row r="8925" s="96" customFormat="true" ht="13.5"/>
    <row r="8926" s="96" customFormat="true" ht="13.5"/>
    <row r="8927" s="96" customFormat="true" ht="13.5"/>
    <row r="8928" s="96" customFormat="true" ht="13.5"/>
    <row r="8929" s="96" customFormat="true" ht="13.5"/>
    <row r="8930" s="96" customFormat="true" ht="13.5"/>
    <row r="8931" s="96" customFormat="true" ht="13.5"/>
    <row r="8932" s="96" customFormat="true" ht="13.5"/>
    <row r="8933" s="96" customFormat="true" ht="13.5"/>
    <row r="8934" s="96" customFormat="true" ht="13.5"/>
    <row r="8935" s="96" customFormat="true" ht="13.5"/>
    <row r="8936" s="96" customFormat="true" ht="13.5"/>
    <row r="8937" s="96" customFormat="true" ht="13.5"/>
    <row r="8938" s="96" customFormat="true" ht="13.5"/>
    <row r="8939" s="96" customFormat="true" ht="13.5"/>
    <row r="8940" s="96" customFormat="true" ht="13.5"/>
    <row r="8941" s="96" customFormat="true" ht="13.5"/>
    <row r="8942" s="96" customFormat="true" ht="13.5"/>
    <row r="8943" s="96" customFormat="true" ht="13.5"/>
    <row r="8944" s="96" customFormat="true" ht="13.5"/>
    <row r="8945" s="96" customFormat="true" ht="13.5"/>
    <row r="8946" s="96" customFormat="true" ht="13.5"/>
    <row r="8947" s="96" customFormat="true" ht="13.5"/>
    <row r="8948" s="96" customFormat="true" ht="13.5"/>
    <row r="8949" s="96" customFormat="true" ht="13.5"/>
    <row r="8950" s="96" customFormat="true" ht="13.5"/>
    <row r="8951" s="96" customFormat="true" ht="13.5"/>
    <row r="8952" s="96" customFormat="true" ht="13.5"/>
    <row r="8953" s="96" customFormat="true" ht="13.5"/>
    <row r="8954" s="96" customFormat="true" ht="13.5"/>
    <row r="8955" s="96" customFormat="true" ht="13.5"/>
    <row r="8956" s="96" customFormat="true" ht="13.5"/>
    <row r="8957" s="96" customFormat="true" ht="13.5"/>
    <row r="8958" s="96" customFormat="true" ht="13.5"/>
    <row r="8959" s="96" customFormat="true" ht="13.5"/>
    <row r="8960" s="96" customFormat="true" ht="13.5"/>
    <row r="8961" s="96" customFormat="true" ht="13.5"/>
    <row r="8962" s="96" customFormat="true" ht="13.5"/>
    <row r="8963" s="96" customFormat="true" ht="13.5"/>
    <row r="8964" s="96" customFormat="true" ht="13.5"/>
    <row r="8965" s="96" customFormat="true" ht="13.5"/>
    <row r="8966" s="96" customFormat="true" ht="13.5"/>
    <row r="8967" s="96" customFormat="true" ht="13.5"/>
    <row r="8968" s="96" customFormat="true" ht="13.5"/>
    <row r="8969" s="96" customFormat="true" ht="13.5"/>
    <row r="8970" s="96" customFormat="true" ht="13.5"/>
    <row r="8971" s="96" customFormat="true" ht="13.5"/>
    <row r="8972" s="96" customFormat="true" ht="13.5"/>
    <row r="8973" s="96" customFormat="true" ht="13.5"/>
    <row r="8974" s="96" customFormat="true" ht="13.5"/>
    <row r="8975" s="96" customFormat="true" ht="13.5"/>
    <row r="8976" s="96" customFormat="true" ht="13.5"/>
    <row r="8977" s="96" customFormat="true" ht="13.5"/>
    <row r="8978" s="96" customFormat="true" ht="13.5"/>
    <row r="8979" s="96" customFormat="true" ht="13.5"/>
    <row r="8980" s="96" customFormat="true" ht="13.5"/>
    <row r="8981" s="96" customFormat="true" ht="13.5"/>
    <row r="8982" s="96" customFormat="true" ht="13.5"/>
    <row r="8983" s="96" customFormat="true" ht="13.5"/>
    <row r="8984" s="96" customFormat="true" ht="13.5"/>
    <row r="8985" s="96" customFormat="true" ht="13.5"/>
    <row r="8986" s="96" customFormat="true" ht="13.5"/>
    <row r="8987" s="96" customFormat="true" ht="13.5"/>
    <row r="8988" s="96" customFormat="true" ht="13.5"/>
    <row r="8989" s="96" customFormat="true" ht="13.5"/>
    <row r="8990" s="96" customFormat="true" ht="13.5"/>
    <row r="8991" s="96" customFormat="true" ht="13.5"/>
    <row r="8992" s="96" customFormat="true" ht="13.5"/>
    <row r="8993" s="96" customFormat="true" ht="13.5"/>
    <row r="8994" s="96" customFormat="true" ht="13.5"/>
    <row r="8995" s="96" customFormat="true" ht="13.5"/>
    <row r="8996" s="96" customFormat="true" ht="13.5"/>
    <row r="8997" s="96" customFormat="true" ht="13.5"/>
    <row r="8998" s="96" customFormat="true" ht="13.5"/>
    <row r="8999" s="96" customFormat="true" ht="13.5"/>
    <row r="9000" s="96" customFormat="true" ht="13.5"/>
    <row r="9001" s="96" customFormat="true" ht="13.5"/>
    <row r="9002" s="96" customFormat="true" ht="13.5"/>
    <row r="9003" s="96" customFormat="true" ht="13.5"/>
    <row r="9004" s="96" customFormat="true" ht="13.5"/>
    <row r="9005" s="96" customFormat="true" ht="13.5"/>
    <row r="9006" s="96" customFormat="true" ht="13.5"/>
    <row r="9007" s="96" customFormat="true" ht="13.5"/>
    <row r="9008" s="96" customFormat="true" ht="13.5"/>
    <row r="9009" s="96" customFormat="true" ht="13.5"/>
    <row r="9010" s="96" customFormat="true" ht="13.5"/>
    <row r="9011" s="96" customFormat="true" ht="13.5"/>
    <row r="9012" s="96" customFormat="true" ht="13.5"/>
    <row r="9013" s="96" customFormat="true" ht="13.5"/>
    <row r="9014" s="96" customFormat="true" ht="13.5"/>
    <row r="9015" s="96" customFormat="true" ht="13.5"/>
    <row r="9016" s="96" customFormat="true" ht="13.5"/>
    <row r="9017" s="96" customFormat="true" ht="13.5"/>
    <row r="9018" s="96" customFormat="true" ht="13.5"/>
    <row r="9019" s="96" customFormat="true" ht="13.5"/>
    <row r="9020" s="96" customFormat="true" ht="13.5"/>
    <row r="9021" s="96" customFormat="true" ht="13.5"/>
    <row r="9022" s="96" customFormat="true" ht="13.5"/>
    <row r="9023" s="96" customFormat="true" ht="13.5"/>
    <row r="9024" s="96" customFormat="true" ht="13.5"/>
    <row r="9025" s="96" customFormat="true" ht="13.5"/>
    <row r="9026" s="96" customFormat="true" ht="13.5"/>
    <row r="9027" s="96" customFormat="true" ht="13.5"/>
    <row r="9028" s="96" customFormat="true" ht="13.5"/>
    <row r="9029" s="96" customFormat="true" ht="13.5"/>
    <row r="9030" s="96" customFormat="true" ht="13.5"/>
    <row r="9031" s="96" customFormat="true" ht="13.5"/>
    <row r="9032" s="96" customFormat="true" ht="13.5"/>
    <row r="9033" s="96" customFormat="true" ht="13.5"/>
    <row r="9034" s="96" customFormat="true" ht="13.5"/>
    <row r="9035" s="96" customFormat="true" ht="13.5"/>
    <row r="9036" s="96" customFormat="true" ht="13.5"/>
    <row r="9037" s="96" customFormat="true" ht="13.5"/>
    <row r="9038" s="96" customFormat="true" ht="13.5"/>
    <row r="9039" s="96" customFormat="true" ht="13.5"/>
    <row r="9040" s="96" customFormat="true" ht="13.5"/>
    <row r="9041" s="96" customFormat="true" ht="13.5"/>
    <row r="9042" s="96" customFormat="true" ht="13.5"/>
    <row r="9043" s="96" customFormat="true" ht="13.5"/>
    <row r="9044" s="96" customFormat="true" ht="13.5"/>
    <row r="9045" s="96" customFormat="true" ht="13.5"/>
    <row r="9046" s="96" customFormat="true" ht="13.5"/>
    <row r="9047" s="96" customFormat="true" ht="13.5"/>
    <row r="9048" s="96" customFormat="true" ht="13.5"/>
    <row r="9049" s="96" customFormat="true" ht="13.5"/>
    <row r="9050" s="96" customFormat="true" ht="13.5"/>
    <row r="9051" s="96" customFormat="true" ht="13.5"/>
    <row r="9052" s="96" customFormat="true" ht="13.5"/>
    <row r="9053" s="96" customFormat="true" ht="13.5"/>
    <row r="9054" s="96" customFormat="true" ht="13.5"/>
    <row r="9055" s="96" customFormat="true" ht="13.5"/>
    <row r="9056" s="96" customFormat="true" ht="13.5"/>
    <row r="9057" s="96" customFormat="true" ht="13.5"/>
    <row r="9058" s="96" customFormat="true" ht="13.5"/>
    <row r="9059" s="96" customFormat="true" ht="13.5"/>
    <row r="9060" s="96" customFormat="true" ht="13.5"/>
    <row r="9061" s="96" customFormat="true" ht="13.5"/>
    <row r="9062" s="96" customFormat="true" ht="13.5"/>
    <row r="9063" s="96" customFormat="true" ht="13.5"/>
    <row r="9064" s="96" customFormat="true" ht="13.5"/>
    <row r="9065" s="96" customFormat="true" ht="13.5"/>
    <row r="9066" s="96" customFormat="true" ht="13.5"/>
    <row r="9067" s="96" customFormat="true" ht="13.5"/>
    <row r="9068" s="96" customFormat="true" ht="13.5"/>
    <row r="9069" s="96" customFormat="true" ht="13.5"/>
    <row r="9070" s="96" customFormat="true" ht="13.5"/>
    <row r="9071" s="96" customFormat="true" ht="13.5"/>
    <row r="9072" s="96" customFormat="true" ht="13.5"/>
    <row r="9073" s="96" customFormat="true" ht="13.5"/>
    <row r="9074" s="96" customFormat="true" ht="13.5"/>
    <row r="9075" s="96" customFormat="true" ht="13.5"/>
    <row r="9076" s="96" customFormat="true" ht="13.5"/>
    <row r="9077" s="96" customFormat="true" ht="13.5"/>
    <row r="9078" s="96" customFormat="true" ht="13.5"/>
    <row r="9079" s="96" customFormat="true" ht="13.5"/>
    <row r="9080" s="96" customFormat="true" ht="13.5"/>
    <row r="9081" s="96" customFormat="true" ht="13.5"/>
    <row r="9082" s="96" customFormat="true" ht="13.5"/>
    <row r="9083" s="96" customFormat="true" ht="13.5"/>
    <row r="9084" s="96" customFormat="true" ht="13.5"/>
    <row r="9085" s="96" customFormat="true" ht="13.5"/>
    <row r="9086" s="96" customFormat="true" ht="13.5"/>
    <row r="9087" s="96" customFormat="true" ht="13.5"/>
    <row r="9088" s="96" customFormat="true" ht="13.5"/>
    <row r="9089" s="96" customFormat="true" ht="13.5"/>
    <row r="9090" s="96" customFormat="true" ht="13.5"/>
    <row r="9091" s="96" customFormat="true" ht="13.5"/>
    <row r="9092" s="96" customFormat="true" ht="13.5"/>
    <row r="9093" s="96" customFormat="true" ht="13.5"/>
    <row r="9094" s="96" customFormat="true" ht="13.5"/>
    <row r="9095" s="96" customFormat="true" ht="13.5"/>
    <row r="9096" s="96" customFormat="true" ht="13.5"/>
    <row r="9097" s="96" customFormat="true" ht="13.5"/>
    <row r="9098" s="96" customFormat="true" ht="13.5"/>
    <row r="9099" s="96" customFormat="true" ht="13.5"/>
    <row r="9100" s="96" customFormat="true" ht="13.5"/>
    <row r="9101" s="96" customFormat="true" ht="13.5"/>
    <row r="9102" s="96" customFormat="true" ht="13.5"/>
    <row r="9103" s="96" customFormat="true" ht="13.5"/>
    <row r="9104" s="96" customFormat="true" ht="13.5"/>
    <row r="9105" s="96" customFormat="true" ht="13.5"/>
    <row r="9106" s="96" customFormat="true" ht="13.5"/>
    <row r="9107" s="96" customFormat="true" ht="13.5"/>
    <row r="9108" s="96" customFormat="true" ht="13.5"/>
    <row r="9109" s="96" customFormat="true" ht="13.5"/>
    <row r="9110" s="96" customFormat="true" ht="13.5"/>
    <row r="9111" s="96" customFormat="true" ht="13.5"/>
    <row r="9112" s="96" customFormat="true" ht="13.5"/>
    <row r="9113" s="96" customFormat="true" ht="13.5"/>
    <row r="9114" s="96" customFormat="true" ht="13.5"/>
    <row r="9115" s="96" customFormat="true" ht="13.5"/>
    <row r="9116" s="96" customFormat="true" ht="13.5"/>
    <row r="9117" s="96" customFormat="true" ht="13.5"/>
    <row r="9118" s="96" customFormat="true" ht="13.5"/>
    <row r="9119" s="96" customFormat="true" ht="13.5"/>
    <row r="9120" s="96" customFormat="true" ht="13.5"/>
    <row r="9121" s="96" customFormat="true" ht="13.5"/>
    <row r="9122" s="96" customFormat="true" ht="13.5"/>
    <row r="9123" s="96" customFormat="true" ht="13.5"/>
    <row r="9124" s="96" customFormat="true" ht="13.5"/>
    <row r="9125" s="96" customFormat="true" ht="13.5"/>
    <row r="9126" s="96" customFormat="true" ht="13.5"/>
    <row r="9127" s="96" customFormat="true" ht="13.5"/>
    <row r="9128" s="96" customFormat="true" ht="13.5"/>
    <row r="9129" s="96" customFormat="true" ht="13.5"/>
    <row r="9130" s="96" customFormat="true" ht="13.5"/>
    <row r="9131" s="96" customFormat="true" ht="13.5"/>
    <row r="9132" s="96" customFormat="true" ht="13.5"/>
    <row r="9133" s="96" customFormat="true" ht="13.5"/>
    <row r="9134" s="96" customFormat="true" ht="13.5"/>
    <row r="9135" s="96" customFormat="true" ht="13.5"/>
    <row r="9136" s="96" customFormat="true" ht="13.5"/>
    <row r="9137" s="96" customFormat="true" ht="13.5"/>
    <row r="9138" s="96" customFormat="true" ht="13.5"/>
    <row r="9139" s="96" customFormat="true" ht="13.5"/>
    <row r="9140" s="96" customFormat="true" ht="13.5"/>
    <row r="9141" s="96" customFormat="true" ht="13.5"/>
    <row r="9142" s="96" customFormat="true" ht="13.5"/>
    <row r="9143" s="96" customFormat="true" ht="13.5"/>
    <row r="9144" s="96" customFormat="true" ht="13.5"/>
    <row r="9145" s="96" customFormat="true" ht="13.5"/>
    <row r="9146" s="96" customFormat="true" ht="13.5"/>
    <row r="9147" s="96" customFormat="true" ht="13.5"/>
    <row r="9148" s="96" customFormat="true" ht="13.5"/>
    <row r="9149" s="96" customFormat="true" ht="13.5"/>
    <row r="9150" s="96" customFormat="true" ht="13.5"/>
    <row r="9151" s="96" customFormat="true" ht="13.5"/>
    <row r="9152" s="96" customFormat="true" ht="13.5"/>
    <row r="9153" s="96" customFormat="true" ht="13.5"/>
    <row r="9154" s="96" customFormat="true" ht="13.5"/>
    <row r="9155" s="96" customFormat="true" ht="13.5"/>
    <row r="9156" s="96" customFormat="true" ht="13.5"/>
    <row r="9157" s="96" customFormat="true" ht="13.5"/>
    <row r="9158" s="96" customFormat="true" ht="13.5"/>
    <row r="9159" s="96" customFormat="true" ht="13.5"/>
    <row r="9160" s="96" customFormat="true" ht="13.5"/>
    <row r="9161" s="96" customFormat="true" ht="13.5"/>
    <row r="9162" s="96" customFormat="true" ht="13.5"/>
    <row r="9163" s="96" customFormat="true" ht="13.5"/>
    <row r="9164" s="96" customFormat="true" ht="13.5"/>
    <row r="9165" s="96" customFormat="true" ht="13.5"/>
    <row r="9166" s="96" customFormat="true" ht="13.5"/>
    <row r="9167" s="96" customFormat="true" ht="13.5"/>
    <row r="9168" s="96" customFormat="true" ht="13.5"/>
    <row r="9169" s="96" customFormat="true" ht="13.5"/>
    <row r="9170" s="96" customFormat="true" ht="13.5"/>
    <row r="9171" s="96" customFormat="true" ht="13.5"/>
    <row r="9172" s="96" customFormat="true" ht="13.5"/>
    <row r="9173" s="96" customFormat="true" ht="13.5"/>
    <row r="9174" s="96" customFormat="true" ht="13.5"/>
    <row r="9175" s="96" customFormat="true" ht="13.5"/>
    <row r="9176" s="96" customFormat="true" ht="13.5"/>
    <row r="9177" s="96" customFormat="true" ht="13.5"/>
    <row r="9178" s="96" customFormat="true" ht="13.5"/>
    <row r="9179" s="96" customFormat="true" ht="13.5"/>
    <row r="9180" s="96" customFormat="true" ht="13.5"/>
    <row r="9181" s="96" customFormat="true" ht="13.5"/>
    <row r="9182" s="96" customFormat="true" ht="13.5"/>
    <row r="9183" s="96" customFormat="true" ht="13.5"/>
    <row r="9184" s="96" customFormat="true" ht="13.5"/>
    <row r="9185" s="96" customFormat="true" ht="13.5"/>
    <row r="9186" s="96" customFormat="true" ht="13.5"/>
    <row r="9187" s="96" customFormat="true" ht="13.5"/>
    <row r="9188" s="96" customFormat="true" ht="13.5"/>
    <row r="9189" s="96" customFormat="true" ht="13.5"/>
    <row r="9190" s="96" customFormat="true" ht="13.5"/>
    <row r="9191" s="96" customFormat="true" ht="13.5"/>
    <row r="9192" s="96" customFormat="true" ht="13.5"/>
    <row r="9193" s="96" customFormat="true" ht="13.5"/>
    <row r="9194" s="96" customFormat="true" ht="13.5"/>
    <row r="9195" s="96" customFormat="true" ht="13.5"/>
    <row r="9196" s="96" customFormat="true" ht="13.5"/>
    <row r="9197" s="96" customFormat="true" ht="13.5"/>
    <row r="9198" s="96" customFormat="true" ht="13.5"/>
    <row r="9199" s="96" customFormat="true" ht="13.5"/>
    <row r="9200" s="96" customFormat="true" ht="13.5"/>
    <row r="9201" s="96" customFormat="true" ht="13.5"/>
    <row r="9202" s="96" customFormat="true" ht="13.5"/>
    <row r="9203" s="96" customFormat="true" ht="13.5"/>
    <row r="9204" s="96" customFormat="true" ht="13.5"/>
    <row r="9205" s="96" customFormat="true" ht="13.5"/>
    <row r="9206" s="96" customFormat="true" ht="13.5"/>
    <row r="9207" s="96" customFormat="true" ht="13.5"/>
    <row r="9208" s="96" customFormat="true" ht="13.5"/>
    <row r="9209" s="96" customFormat="true" ht="13.5"/>
    <row r="9210" s="96" customFormat="true" ht="13.5"/>
    <row r="9211" s="96" customFormat="true" ht="13.5"/>
    <row r="9212" s="96" customFormat="true" ht="13.5"/>
    <row r="9213" s="96" customFormat="true" ht="13.5"/>
    <row r="9214" s="96" customFormat="true" ht="13.5"/>
    <row r="9215" s="96" customFormat="true" ht="13.5"/>
    <row r="9216" s="96" customFormat="true" ht="13.5"/>
    <row r="9217" s="96" customFormat="true" ht="13.5"/>
    <row r="9218" s="96" customFormat="true" ht="13.5"/>
    <row r="9219" s="96" customFormat="true" ht="13.5"/>
    <row r="9220" s="96" customFormat="true" ht="13.5"/>
    <row r="9221" s="96" customFormat="true" ht="13.5"/>
    <row r="9222" s="96" customFormat="true" ht="13.5"/>
    <row r="9223" s="96" customFormat="true" ht="13.5"/>
    <row r="9224" s="96" customFormat="true" ht="13.5"/>
    <row r="9225" s="96" customFormat="true" ht="13.5"/>
    <row r="9226" s="96" customFormat="true" ht="13.5"/>
    <row r="9227" s="96" customFormat="true" ht="13.5"/>
    <row r="9228" s="96" customFormat="true" ht="13.5"/>
    <row r="9229" s="96" customFormat="true" ht="13.5"/>
    <row r="9230" s="96" customFormat="true" ht="13.5"/>
    <row r="9231" s="96" customFormat="true" ht="13.5"/>
    <row r="9232" s="96" customFormat="true" ht="13.5"/>
    <row r="9233" s="96" customFormat="true" ht="13.5"/>
    <row r="9234" s="96" customFormat="true" ht="13.5"/>
    <row r="9235" s="96" customFormat="true" ht="13.5"/>
    <row r="9236" s="96" customFormat="true" ht="13.5"/>
    <row r="9237" s="96" customFormat="true" ht="13.5"/>
    <row r="9238" s="96" customFormat="true" ht="13.5"/>
    <row r="9239" s="96" customFormat="true" ht="13.5"/>
    <row r="9240" s="96" customFormat="true" ht="13.5"/>
    <row r="9241" s="96" customFormat="true" ht="13.5"/>
    <row r="9242" s="96" customFormat="true" ht="13.5"/>
    <row r="9243" s="96" customFormat="true" ht="13.5"/>
    <row r="9244" s="96" customFormat="true" ht="13.5"/>
    <row r="9245" s="96" customFormat="true" ht="13.5"/>
    <row r="9246" s="96" customFormat="true" ht="13.5"/>
    <row r="9247" s="96" customFormat="true" ht="13.5"/>
    <row r="9248" s="96" customFormat="true" ht="13.5"/>
    <row r="9249" s="96" customFormat="true" ht="13.5"/>
    <row r="9250" s="96" customFormat="true" ht="13.5"/>
    <row r="9251" s="96" customFormat="true" ht="13.5"/>
    <row r="9252" s="96" customFormat="true" ht="13.5"/>
    <row r="9253" s="96" customFormat="true" ht="13.5"/>
    <row r="9254" s="96" customFormat="true" ht="13.5"/>
    <row r="9255" s="96" customFormat="true" ht="13.5"/>
    <row r="9256" s="96" customFormat="true" ht="13.5"/>
    <row r="9257" s="96" customFormat="true" ht="13.5"/>
    <row r="9258" s="96" customFormat="true" ht="13.5"/>
    <row r="9259" s="96" customFormat="true" ht="13.5"/>
    <row r="9260" s="96" customFormat="true" ht="13.5"/>
    <row r="9261" s="96" customFormat="true" ht="13.5"/>
    <row r="9262" s="96" customFormat="true" ht="13.5"/>
    <row r="9263" s="96" customFormat="true" ht="13.5"/>
    <row r="9264" s="96" customFormat="true" ht="13.5"/>
    <row r="9265" s="96" customFormat="true" ht="13.5"/>
    <row r="9266" s="96" customFormat="true" ht="13.5"/>
    <row r="9267" s="96" customFormat="true" ht="13.5"/>
    <row r="9268" s="96" customFormat="true" ht="13.5"/>
    <row r="9269" s="96" customFormat="true" ht="13.5"/>
    <row r="9270" s="96" customFormat="true" ht="13.5"/>
    <row r="9271" s="96" customFormat="true" ht="13.5"/>
    <row r="9272" s="96" customFormat="true" ht="13.5"/>
    <row r="9273" s="96" customFormat="true" ht="13.5"/>
    <row r="9274" s="96" customFormat="true" ht="13.5"/>
    <row r="9275" s="96" customFormat="true" ht="13.5"/>
    <row r="9276" s="96" customFormat="true" ht="13.5"/>
    <row r="9277" s="96" customFormat="true" ht="13.5"/>
    <row r="9278" s="96" customFormat="true" ht="13.5"/>
    <row r="9279" s="96" customFormat="true" ht="13.5"/>
    <row r="9280" s="96" customFormat="true" ht="13.5"/>
    <row r="9281" s="96" customFormat="true" ht="13.5"/>
    <row r="9282" s="96" customFormat="true" ht="13.5"/>
    <row r="9283" s="96" customFormat="true" ht="13.5"/>
    <row r="9284" s="96" customFormat="true" ht="13.5"/>
    <row r="9285" s="96" customFormat="true" ht="13.5"/>
    <row r="9286" s="96" customFormat="true" ht="13.5"/>
    <row r="9287" s="96" customFormat="true" ht="13.5"/>
    <row r="9288" s="96" customFormat="true" ht="13.5"/>
    <row r="9289" s="96" customFormat="true" ht="13.5"/>
    <row r="9290" s="96" customFormat="true" ht="13.5"/>
    <row r="9291" s="96" customFormat="true" ht="13.5"/>
    <row r="9292" s="96" customFormat="true" ht="13.5"/>
    <row r="9293" s="96" customFormat="true" ht="13.5"/>
    <row r="9294" s="96" customFormat="true" ht="13.5"/>
    <row r="9295" s="96" customFormat="true" ht="13.5"/>
    <row r="9296" s="96" customFormat="true" ht="13.5"/>
    <row r="9297" s="96" customFormat="true" ht="13.5"/>
    <row r="9298" s="96" customFormat="true" ht="13.5"/>
    <row r="9299" s="96" customFormat="true" ht="13.5"/>
    <row r="9300" s="96" customFormat="true" ht="13.5"/>
    <row r="9301" s="96" customFormat="true" ht="13.5"/>
    <row r="9302" s="96" customFormat="true" ht="13.5"/>
    <row r="9303" s="96" customFormat="true" ht="13.5"/>
    <row r="9304" s="96" customFormat="true" ht="13.5"/>
    <row r="9305" s="96" customFormat="true" ht="13.5"/>
    <row r="9306" s="96" customFormat="true" ht="13.5"/>
    <row r="9307" s="96" customFormat="true" ht="13.5"/>
    <row r="9308" s="96" customFormat="true" ht="13.5"/>
    <row r="9309" s="96" customFormat="true" ht="13.5"/>
    <row r="9310" s="96" customFormat="true" ht="13.5"/>
    <row r="9311" s="96" customFormat="true" ht="13.5"/>
    <row r="9312" s="96" customFormat="true" ht="13.5"/>
    <row r="9313" s="96" customFormat="true" ht="13.5"/>
    <row r="9314" s="96" customFormat="true" ht="13.5"/>
    <row r="9315" s="96" customFormat="true" ht="13.5"/>
    <row r="9316" s="96" customFormat="true" ht="13.5"/>
    <row r="9317" s="96" customFormat="true" ht="13.5"/>
    <row r="9318" s="96" customFormat="true" ht="13.5"/>
    <row r="9319" s="96" customFormat="true" ht="13.5"/>
    <row r="9320" s="96" customFormat="true" ht="13.5"/>
    <row r="9321" s="96" customFormat="true" ht="13.5"/>
    <row r="9322" s="96" customFormat="true" ht="13.5"/>
    <row r="9323" s="96" customFormat="true" ht="13.5"/>
    <row r="9324" s="96" customFormat="true" ht="13.5"/>
    <row r="9325" s="96" customFormat="true" ht="13.5"/>
    <row r="9326" s="96" customFormat="true" ht="13.5"/>
    <row r="9327" s="96" customFormat="true" ht="13.5"/>
    <row r="9328" s="96" customFormat="true" ht="13.5"/>
    <row r="9329" s="96" customFormat="true" ht="13.5"/>
    <row r="9330" s="96" customFormat="true" ht="13.5"/>
    <row r="9331" s="96" customFormat="true" ht="13.5"/>
    <row r="9332" s="96" customFormat="true" ht="13.5"/>
    <row r="9333" s="96" customFormat="true" ht="13.5"/>
    <row r="9334" s="96" customFormat="true" ht="13.5"/>
    <row r="9335" s="96" customFormat="true" ht="13.5"/>
    <row r="9336" s="96" customFormat="true" ht="13.5"/>
    <row r="9337" s="96" customFormat="true" ht="13.5"/>
    <row r="9338" s="96" customFormat="true" ht="13.5"/>
    <row r="9339" s="96" customFormat="true" ht="13.5"/>
    <row r="9340" s="96" customFormat="true" ht="13.5"/>
    <row r="9341" s="96" customFormat="true" ht="13.5"/>
    <row r="9342" s="96" customFormat="true" ht="13.5"/>
    <row r="9343" s="96" customFormat="true" ht="13.5"/>
    <row r="9344" s="96" customFormat="true" ht="13.5"/>
    <row r="9345" s="96" customFormat="true" ht="13.5"/>
    <row r="9346" s="96" customFormat="true" ht="13.5"/>
    <row r="9347" s="96" customFormat="true" ht="13.5"/>
    <row r="9348" s="96" customFormat="true" ht="13.5"/>
    <row r="9349" s="96" customFormat="true" ht="13.5"/>
    <row r="9350" s="96" customFormat="true" ht="13.5"/>
    <row r="9351" s="96" customFormat="true" ht="13.5"/>
    <row r="9352" s="96" customFormat="true" ht="13.5"/>
    <row r="9353" s="96" customFormat="true" ht="13.5"/>
    <row r="9354" s="96" customFormat="true" ht="13.5"/>
    <row r="9355" s="96" customFormat="true" ht="13.5"/>
    <row r="9356" s="96" customFormat="true" ht="13.5"/>
    <row r="9357" s="96" customFormat="true" ht="13.5"/>
    <row r="9358" s="96" customFormat="true" ht="13.5"/>
    <row r="9359" s="96" customFormat="true" ht="13.5"/>
    <row r="9360" s="96" customFormat="true" ht="13.5"/>
    <row r="9361" s="96" customFormat="true" ht="13.5"/>
    <row r="9362" s="96" customFormat="true" ht="13.5"/>
    <row r="9363" s="96" customFormat="true" ht="13.5"/>
    <row r="9364" s="96" customFormat="true" ht="13.5"/>
    <row r="9365" s="96" customFormat="true" ht="13.5"/>
    <row r="9366" s="96" customFormat="true" ht="13.5"/>
    <row r="9367" s="96" customFormat="true" ht="13.5"/>
    <row r="9368" s="96" customFormat="true" ht="13.5"/>
    <row r="9369" s="96" customFormat="true" ht="13.5"/>
    <row r="9370" s="96" customFormat="true" ht="13.5"/>
    <row r="9371" s="96" customFormat="true" ht="13.5"/>
    <row r="9372" s="96" customFormat="true" ht="13.5"/>
    <row r="9373" s="96" customFormat="true" ht="13.5"/>
    <row r="9374" s="96" customFormat="true" ht="13.5"/>
    <row r="9375" s="96" customFormat="true" ht="13.5"/>
    <row r="9376" s="96" customFormat="true" ht="13.5"/>
    <row r="9377" s="96" customFormat="true" ht="13.5"/>
    <row r="9378" s="96" customFormat="true" ht="13.5"/>
    <row r="9379" s="96" customFormat="true" ht="13.5"/>
    <row r="9380" s="96" customFormat="true" ht="13.5"/>
    <row r="9381" s="96" customFormat="true" ht="13.5"/>
    <row r="9382" s="96" customFormat="true" ht="13.5"/>
    <row r="9383" s="96" customFormat="true" ht="13.5"/>
    <row r="9384" s="96" customFormat="true" ht="13.5"/>
    <row r="9385" s="96" customFormat="true" ht="13.5"/>
    <row r="9386" s="96" customFormat="true" ht="13.5"/>
    <row r="9387" s="96" customFormat="true" ht="13.5"/>
    <row r="9388" s="96" customFormat="true" ht="13.5"/>
    <row r="9389" s="96" customFormat="true" ht="13.5"/>
    <row r="9390" s="96" customFormat="true" ht="13.5"/>
    <row r="9391" s="96" customFormat="true" ht="13.5"/>
    <row r="9392" s="96" customFormat="true" ht="13.5"/>
    <row r="9393" s="96" customFormat="true" ht="13.5"/>
    <row r="9394" s="96" customFormat="true" ht="13.5"/>
    <row r="9395" s="96" customFormat="true" ht="13.5"/>
    <row r="9396" s="96" customFormat="true" ht="13.5"/>
    <row r="9397" s="96" customFormat="true" ht="13.5"/>
    <row r="9398" s="96" customFormat="true" ht="13.5"/>
    <row r="9399" s="96" customFormat="true" ht="13.5"/>
    <row r="9400" s="96" customFormat="true" ht="13.5"/>
    <row r="9401" s="96" customFormat="true" ht="13.5"/>
    <row r="9402" s="96" customFormat="true" ht="13.5"/>
    <row r="9403" s="96" customFormat="true" ht="13.5"/>
    <row r="9404" s="96" customFormat="true" ht="13.5"/>
    <row r="9405" s="96" customFormat="true" ht="13.5"/>
    <row r="9406" s="96" customFormat="true" ht="13.5"/>
    <row r="9407" s="96" customFormat="true" ht="13.5"/>
    <row r="9408" s="96" customFormat="true" ht="13.5"/>
    <row r="9409" s="96" customFormat="true" ht="13.5"/>
    <row r="9410" s="96" customFormat="true" ht="13.5"/>
    <row r="9411" s="96" customFormat="true" ht="13.5"/>
    <row r="9412" s="96" customFormat="true" ht="13.5"/>
    <row r="9413" s="96" customFormat="true" ht="13.5"/>
    <row r="9414" s="96" customFormat="true" ht="13.5"/>
    <row r="9415" s="96" customFormat="true" ht="13.5"/>
    <row r="9416" s="96" customFormat="true" ht="13.5"/>
    <row r="9417" s="96" customFormat="true" ht="13.5"/>
    <row r="9418" s="96" customFormat="true" ht="13.5"/>
    <row r="9419" s="96" customFormat="true" ht="13.5"/>
    <row r="9420" s="96" customFormat="true" ht="13.5"/>
    <row r="9421" s="96" customFormat="true" ht="13.5"/>
    <row r="9422" s="96" customFormat="true" ht="13.5"/>
    <row r="9423" s="96" customFormat="true" ht="13.5"/>
    <row r="9424" s="96" customFormat="true" ht="13.5"/>
    <row r="9425" s="96" customFormat="true" ht="13.5"/>
    <row r="9426" s="96" customFormat="true" ht="13.5"/>
    <row r="9427" s="96" customFormat="true" ht="13.5"/>
    <row r="9428" s="96" customFormat="true" ht="13.5"/>
    <row r="9429" s="96" customFormat="true" ht="13.5"/>
    <row r="9430" s="96" customFormat="true" ht="13.5"/>
    <row r="9431" s="96" customFormat="true" ht="13.5"/>
    <row r="9432" s="96" customFormat="true" ht="13.5"/>
    <row r="9433" s="96" customFormat="true" ht="13.5"/>
    <row r="9434" s="96" customFormat="true" ht="13.5"/>
    <row r="9435" s="96" customFormat="true" ht="13.5"/>
    <row r="9436" s="96" customFormat="true" ht="13.5"/>
    <row r="9437" s="96" customFormat="true" ht="13.5"/>
    <row r="9438" s="96" customFormat="true" ht="13.5"/>
    <row r="9439" s="96" customFormat="true" ht="13.5"/>
    <row r="9440" s="96" customFormat="true" ht="13.5"/>
    <row r="9441" s="96" customFormat="true" ht="13.5"/>
    <row r="9442" s="96" customFormat="true" ht="13.5"/>
    <row r="9443" s="96" customFormat="true" ht="13.5"/>
    <row r="9444" s="96" customFormat="true" ht="13.5"/>
    <row r="9445" s="96" customFormat="true" ht="13.5"/>
    <row r="9446" s="96" customFormat="true" ht="13.5"/>
    <row r="9447" s="96" customFormat="true" ht="13.5"/>
    <row r="9448" s="96" customFormat="true" ht="13.5"/>
    <row r="9449" s="96" customFormat="true" ht="13.5"/>
    <row r="9450" s="96" customFormat="true" ht="13.5"/>
    <row r="9451" s="96" customFormat="true" ht="13.5"/>
    <row r="9452" s="96" customFormat="true" ht="13.5"/>
    <row r="9453" s="96" customFormat="true" ht="13.5"/>
    <row r="9454" s="96" customFormat="true" ht="13.5"/>
    <row r="9455" s="96" customFormat="true" ht="13.5"/>
    <row r="9456" s="96" customFormat="true" ht="13.5"/>
    <row r="9457" s="96" customFormat="true" ht="13.5"/>
    <row r="9458" s="96" customFormat="true" ht="13.5"/>
    <row r="9459" s="96" customFormat="true" ht="13.5"/>
    <row r="9460" s="96" customFormat="true" ht="13.5"/>
    <row r="9461" s="96" customFormat="true" ht="13.5"/>
    <row r="9462" s="96" customFormat="true" ht="13.5"/>
    <row r="9463" s="96" customFormat="true" ht="13.5"/>
    <row r="9464" s="96" customFormat="true" ht="13.5"/>
    <row r="9465" s="96" customFormat="true" ht="13.5"/>
    <row r="9466" s="96" customFormat="true" ht="13.5"/>
    <row r="9467" s="96" customFormat="true" ht="13.5"/>
    <row r="9468" s="96" customFormat="true" ht="13.5"/>
    <row r="9469" s="96" customFormat="true" ht="13.5"/>
    <row r="9470" s="96" customFormat="true" ht="13.5"/>
    <row r="9471" s="96" customFormat="true" ht="13.5"/>
    <row r="9472" s="96" customFormat="true" ht="13.5"/>
    <row r="9473" s="96" customFormat="true" ht="13.5"/>
    <row r="9474" s="96" customFormat="true" ht="13.5"/>
    <row r="9475" s="96" customFormat="true" ht="13.5"/>
    <row r="9476" s="96" customFormat="true" ht="13.5"/>
    <row r="9477" s="96" customFormat="true" ht="13.5"/>
    <row r="9478" s="96" customFormat="true" ht="13.5"/>
    <row r="9479" s="96" customFormat="true" ht="13.5"/>
    <row r="9480" s="96" customFormat="true" ht="13.5"/>
    <row r="9481" s="96" customFormat="true" ht="13.5"/>
    <row r="9482" s="96" customFormat="true" ht="13.5"/>
    <row r="9483" s="96" customFormat="true" ht="13.5"/>
    <row r="9484" s="96" customFormat="true" ht="13.5"/>
    <row r="9485" s="96" customFormat="true" ht="13.5"/>
    <row r="9486" s="96" customFormat="true" ht="13.5"/>
    <row r="9487" s="96" customFormat="true" ht="13.5"/>
    <row r="9488" s="96" customFormat="true" ht="13.5"/>
    <row r="9489" s="96" customFormat="true" ht="13.5"/>
    <row r="9490" s="96" customFormat="true" ht="13.5"/>
    <row r="9491" s="96" customFormat="true" ht="13.5"/>
    <row r="9492" s="96" customFormat="true" ht="13.5"/>
    <row r="9493" s="96" customFormat="true" ht="13.5"/>
    <row r="9494" s="96" customFormat="true" ht="13.5"/>
    <row r="9495" s="96" customFormat="true" ht="13.5"/>
    <row r="9496" s="96" customFormat="true" ht="13.5"/>
    <row r="9497" s="96" customFormat="true" ht="13.5"/>
    <row r="9498" s="96" customFormat="true" ht="13.5"/>
    <row r="9499" s="96" customFormat="true" ht="13.5"/>
    <row r="9500" s="96" customFormat="true" ht="13.5"/>
    <row r="9501" s="96" customFormat="true" ht="13.5"/>
    <row r="9502" s="96" customFormat="true" ht="13.5"/>
    <row r="9503" s="96" customFormat="true" ht="13.5"/>
    <row r="9504" s="96" customFormat="true" ht="13.5"/>
    <row r="9505" s="96" customFormat="true" ht="13.5"/>
    <row r="9506" s="96" customFormat="true" ht="13.5"/>
    <row r="9507" s="96" customFormat="true" ht="13.5"/>
    <row r="9508" s="96" customFormat="true" ht="13.5"/>
    <row r="9509" s="96" customFormat="true" ht="13.5"/>
    <row r="9510" s="96" customFormat="true" ht="13.5"/>
    <row r="9511" s="96" customFormat="true" ht="13.5"/>
    <row r="9512" s="96" customFormat="true" ht="13.5"/>
    <row r="9513" s="96" customFormat="true" ht="13.5"/>
    <row r="9514" s="96" customFormat="true" ht="13.5"/>
    <row r="9515" s="96" customFormat="true" ht="13.5"/>
    <row r="9516" s="96" customFormat="true" ht="13.5"/>
    <row r="9517" s="96" customFormat="true" ht="13.5"/>
    <row r="9518" s="96" customFormat="true" ht="13.5"/>
    <row r="9519" s="96" customFormat="true" ht="13.5"/>
    <row r="9520" s="96" customFormat="true" ht="13.5"/>
    <row r="9521" s="96" customFormat="true" ht="13.5"/>
    <row r="9522" s="96" customFormat="true" ht="13.5"/>
    <row r="9523" s="96" customFormat="true" ht="13.5"/>
    <row r="9524" s="96" customFormat="true" ht="13.5"/>
    <row r="9525" s="96" customFormat="true" ht="13.5"/>
    <row r="9526" s="96" customFormat="true" ht="13.5"/>
    <row r="9527" s="96" customFormat="true" ht="13.5"/>
    <row r="9528" s="96" customFormat="true" ht="13.5"/>
    <row r="9529" s="96" customFormat="true" ht="13.5"/>
    <row r="9530" s="96" customFormat="true" ht="13.5"/>
    <row r="9531" s="96" customFormat="true" ht="13.5"/>
    <row r="9532" s="96" customFormat="true" ht="13.5"/>
    <row r="9533" s="96" customFormat="true" ht="13.5"/>
    <row r="9534" s="96" customFormat="true" ht="13.5"/>
    <row r="9535" s="96" customFormat="true" ht="13.5"/>
    <row r="9536" s="96" customFormat="true" ht="13.5"/>
    <row r="9537" s="96" customFormat="true" ht="13.5"/>
    <row r="9538" s="96" customFormat="true" ht="13.5"/>
    <row r="9539" s="96" customFormat="true" ht="13.5"/>
    <row r="9540" s="96" customFormat="true" ht="13.5"/>
    <row r="9541" s="96" customFormat="true" ht="13.5"/>
    <row r="9542" s="96" customFormat="true" ht="13.5"/>
    <row r="9543" s="96" customFormat="true" ht="13.5"/>
    <row r="9544" s="96" customFormat="true" ht="13.5"/>
    <row r="9545" s="96" customFormat="true" ht="13.5"/>
    <row r="9546" s="96" customFormat="true" ht="13.5"/>
    <row r="9547" s="96" customFormat="true" ht="13.5"/>
    <row r="9548" s="96" customFormat="true" ht="13.5"/>
    <row r="9549" s="96" customFormat="true" ht="13.5"/>
    <row r="9550" s="96" customFormat="true" ht="13.5"/>
    <row r="9551" s="96" customFormat="true" ht="13.5"/>
    <row r="9552" s="96" customFormat="true" ht="13.5"/>
    <row r="9553" s="96" customFormat="true" ht="13.5"/>
    <row r="9554" s="96" customFormat="true" ht="13.5"/>
    <row r="9555" s="96" customFormat="true" ht="13.5"/>
    <row r="9556" s="96" customFormat="true" ht="13.5"/>
    <row r="9557" s="96" customFormat="true" ht="13.5"/>
    <row r="9558" s="96" customFormat="true" ht="13.5"/>
    <row r="9559" s="96" customFormat="true" ht="13.5"/>
    <row r="9560" s="96" customFormat="true" ht="13.5"/>
    <row r="9561" s="96" customFormat="true" ht="13.5"/>
    <row r="9562" s="96" customFormat="true" ht="13.5"/>
    <row r="9563" s="96" customFormat="true" ht="13.5"/>
    <row r="9564" s="96" customFormat="true" ht="13.5"/>
    <row r="9565" s="96" customFormat="true" ht="13.5"/>
    <row r="9566" s="96" customFormat="true" ht="13.5"/>
    <row r="9567" s="96" customFormat="true" ht="13.5"/>
    <row r="9568" s="96" customFormat="true" ht="13.5"/>
    <row r="9569" s="96" customFormat="true" ht="13.5"/>
    <row r="9570" s="96" customFormat="true" ht="13.5"/>
    <row r="9571" s="96" customFormat="true" ht="13.5"/>
    <row r="9572" s="96" customFormat="true" ht="13.5"/>
    <row r="9573" s="96" customFormat="true" ht="13.5"/>
    <row r="9574" s="96" customFormat="true" ht="13.5"/>
    <row r="9575" s="96" customFormat="true" ht="13.5"/>
    <row r="9576" s="96" customFormat="true" ht="13.5"/>
    <row r="9577" s="96" customFormat="true" ht="13.5"/>
    <row r="9578" s="96" customFormat="true" ht="13.5"/>
    <row r="9579" s="96" customFormat="true" ht="13.5"/>
    <row r="9580" s="96" customFormat="true" ht="13.5"/>
    <row r="9581" s="96" customFormat="true" ht="13.5"/>
    <row r="9582" s="96" customFormat="true" ht="13.5"/>
    <row r="9583" s="96" customFormat="true" ht="13.5"/>
    <row r="9584" s="96" customFormat="true" ht="13.5"/>
    <row r="9585" s="96" customFormat="true" ht="13.5"/>
    <row r="9586" s="96" customFormat="true" ht="13.5"/>
    <row r="9587" s="96" customFormat="true" ht="13.5"/>
    <row r="9588" s="96" customFormat="true" ht="13.5"/>
    <row r="9589" s="96" customFormat="true" ht="13.5"/>
    <row r="9590" s="96" customFormat="true" ht="13.5"/>
    <row r="9591" s="96" customFormat="true" ht="13.5"/>
    <row r="9592" s="96" customFormat="true" ht="13.5"/>
    <row r="9593" s="96" customFormat="true" ht="13.5"/>
    <row r="9594" s="96" customFormat="true" ht="13.5"/>
    <row r="9595" s="96" customFormat="true" ht="13.5"/>
    <row r="9596" s="96" customFormat="true" ht="13.5"/>
    <row r="9597" s="96" customFormat="true" ht="13.5"/>
    <row r="9598" s="96" customFormat="true" ht="13.5"/>
    <row r="9599" s="96" customFormat="true" ht="13.5"/>
    <row r="9600" s="96" customFormat="true" ht="13.5"/>
    <row r="9601" s="96" customFormat="true" ht="13.5"/>
    <row r="9602" s="96" customFormat="true" ht="13.5"/>
    <row r="9603" s="96" customFormat="true" ht="13.5"/>
    <row r="9604" s="96" customFormat="true" ht="13.5"/>
    <row r="9605" s="96" customFormat="true" ht="13.5"/>
    <row r="9606" s="96" customFormat="true" ht="13.5"/>
    <row r="9607" s="96" customFormat="true" ht="13.5"/>
    <row r="9608" s="96" customFormat="true" ht="13.5"/>
    <row r="9609" s="96" customFormat="true" ht="13.5"/>
    <row r="9610" s="96" customFormat="true" ht="13.5"/>
    <row r="9611" s="96" customFormat="true" ht="13.5"/>
    <row r="9612" s="96" customFormat="true" ht="13.5"/>
    <row r="9613" s="96" customFormat="true" ht="13.5"/>
    <row r="9614" s="96" customFormat="true" ht="13.5"/>
    <row r="9615" s="96" customFormat="true" ht="13.5"/>
    <row r="9616" s="96" customFormat="true" ht="13.5"/>
    <row r="9617" s="96" customFormat="true" ht="13.5"/>
    <row r="9618" s="96" customFormat="true" ht="13.5"/>
    <row r="9619" s="96" customFormat="true" ht="13.5"/>
    <row r="9620" s="96" customFormat="true" ht="13.5"/>
    <row r="9621" s="96" customFormat="true" ht="13.5"/>
    <row r="9622" s="96" customFormat="true" ht="13.5"/>
    <row r="9623" s="96" customFormat="true" ht="13.5"/>
    <row r="9624" s="96" customFormat="true" ht="13.5"/>
    <row r="9625" s="96" customFormat="true" ht="13.5"/>
    <row r="9626" s="96" customFormat="true" ht="13.5"/>
    <row r="9627" s="96" customFormat="true" ht="13.5"/>
    <row r="9628" s="96" customFormat="true" ht="13.5"/>
    <row r="9629" s="96" customFormat="true" ht="13.5"/>
    <row r="9630" s="96" customFormat="true" ht="13.5"/>
    <row r="9631" s="96" customFormat="true" ht="13.5"/>
    <row r="9632" s="96" customFormat="true" ht="13.5"/>
    <row r="9633" s="96" customFormat="true" ht="13.5"/>
    <row r="9634" s="96" customFormat="true" ht="13.5"/>
    <row r="9635" s="96" customFormat="true" ht="13.5"/>
    <row r="9636" s="96" customFormat="true" ht="13.5"/>
    <row r="9637" s="96" customFormat="true" ht="13.5"/>
    <row r="9638" s="96" customFormat="true" ht="13.5"/>
    <row r="9639" s="96" customFormat="true" ht="13.5"/>
    <row r="9640" s="96" customFormat="true" ht="13.5"/>
    <row r="9641" s="96" customFormat="true" ht="13.5"/>
    <row r="9642" s="96" customFormat="true" ht="13.5"/>
    <row r="9643" s="96" customFormat="true" ht="13.5"/>
    <row r="9644" s="96" customFormat="true" ht="13.5"/>
    <row r="9645" s="96" customFormat="true" ht="13.5"/>
    <row r="9646" s="96" customFormat="true" ht="13.5"/>
    <row r="9647" s="96" customFormat="true" ht="13.5"/>
    <row r="9648" s="96" customFormat="true" ht="13.5"/>
    <row r="9649" s="96" customFormat="true" ht="13.5"/>
    <row r="9650" s="96" customFormat="true" ht="13.5"/>
    <row r="9651" s="96" customFormat="true" ht="13.5"/>
    <row r="9652" s="96" customFormat="true" ht="13.5"/>
    <row r="9653" s="96" customFormat="true" ht="13.5"/>
    <row r="9654" s="96" customFormat="true" ht="13.5"/>
    <row r="9655" s="96" customFormat="true" ht="13.5"/>
    <row r="9656" s="96" customFormat="true" ht="13.5"/>
    <row r="9657" s="96" customFormat="true" ht="13.5"/>
    <row r="9658" s="96" customFormat="true" ht="13.5"/>
    <row r="9659" s="96" customFormat="true" ht="13.5"/>
    <row r="9660" s="96" customFormat="true" ht="13.5"/>
    <row r="9661" s="96" customFormat="true" ht="13.5"/>
    <row r="9662" s="96" customFormat="true" ht="13.5"/>
    <row r="9663" s="96" customFormat="true" ht="13.5"/>
    <row r="9664" s="96" customFormat="true" ht="13.5"/>
    <row r="9665" s="96" customFormat="true" ht="13.5"/>
    <row r="9666" s="96" customFormat="true" ht="13.5"/>
    <row r="9667" s="96" customFormat="true" ht="13.5"/>
    <row r="9668" s="96" customFormat="true" ht="13.5"/>
    <row r="9669" s="96" customFormat="true" ht="13.5"/>
    <row r="9670" s="96" customFormat="true" ht="13.5"/>
    <row r="9671" s="96" customFormat="true" ht="13.5"/>
    <row r="9672" s="96" customFormat="true" ht="13.5"/>
    <row r="9673" s="96" customFormat="true" ht="13.5"/>
    <row r="9674" s="96" customFormat="true" ht="13.5"/>
    <row r="9675" s="96" customFormat="true" ht="13.5"/>
    <row r="9676" s="96" customFormat="true" ht="13.5"/>
    <row r="9677" s="96" customFormat="true" ht="13.5"/>
    <row r="9678" s="96" customFormat="true" ht="13.5"/>
    <row r="9679" s="96" customFormat="true" ht="13.5"/>
    <row r="9680" s="96" customFormat="true" ht="13.5"/>
    <row r="9681" s="96" customFormat="true" ht="13.5"/>
    <row r="9682" s="96" customFormat="true" ht="13.5"/>
    <row r="9683" s="96" customFormat="true" ht="13.5"/>
    <row r="9684" s="96" customFormat="true" ht="13.5"/>
    <row r="9685" s="96" customFormat="true" ht="13.5"/>
    <row r="9686" s="96" customFormat="true" ht="13.5"/>
    <row r="9687" s="96" customFormat="true" ht="13.5"/>
    <row r="9688" s="96" customFormat="true" ht="13.5"/>
    <row r="9689" s="96" customFormat="true" ht="13.5"/>
    <row r="9690" s="96" customFormat="true" ht="13.5"/>
    <row r="9691" s="96" customFormat="true" ht="13.5"/>
    <row r="9692" s="96" customFormat="true" ht="13.5"/>
    <row r="9693" s="96" customFormat="true" ht="13.5"/>
    <row r="9694" s="96" customFormat="true" ht="13.5"/>
    <row r="9695" s="96" customFormat="true" ht="13.5"/>
    <row r="9696" s="96" customFormat="true" ht="13.5"/>
    <row r="9697" s="96" customFormat="true" ht="13.5"/>
    <row r="9698" s="96" customFormat="true" ht="13.5"/>
    <row r="9699" s="96" customFormat="true" ht="13.5"/>
    <row r="9700" s="96" customFormat="true" ht="13.5"/>
    <row r="9701" s="96" customFormat="true" ht="13.5"/>
    <row r="9702" s="96" customFormat="true" ht="13.5"/>
    <row r="9703" s="96" customFormat="true" ht="13.5"/>
    <row r="9704" s="96" customFormat="true" ht="13.5"/>
    <row r="9705" s="96" customFormat="true" ht="13.5"/>
    <row r="9706" s="96" customFormat="true" ht="13.5"/>
    <row r="9707" s="96" customFormat="true" ht="13.5"/>
    <row r="9708" s="96" customFormat="true" ht="13.5"/>
    <row r="9709" s="96" customFormat="true" ht="13.5"/>
    <row r="9710" s="96" customFormat="true" ht="13.5"/>
    <row r="9711" s="96" customFormat="true" ht="13.5"/>
    <row r="9712" s="96" customFormat="true" ht="13.5"/>
    <row r="9713" s="96" customFormat="true" ht="13.5"/>
    <row r="9714" s="96" customFormat="true" ht="13.5"/>
    <row r="9715" s="96" customFormat="true" ht="13.5"/>
    <row r="9716" s="96" customFormat="true" ht="13.5"/>
    <row r="9717" s="96" customFormat="true" ht="13.5"/>
    <row r="9718" s="96" customFormat="true" ht="13.5"/>
    <row r="9719" s="96" customFormat="true" ht="13.5"/>
    <row r="9720" s="96" customFormat="true" ht="13.5"/>
    <row r="9721" s="96" customFormat="true" ht="13.5"/>
    <row r="9722" s="96" customFormat="true" ht="13.5"/>
    <row r="9723" s="96" customFormat="true" ht="13.5"/>
    <row r="9724" s="96" customFormat="true" ht="13.5"/>
    <row r="9725" s="96" customFormat="true" ht="13.5"/>
    <row r="9726" s="96" customFormat="true" ht="13.5"/>
    <row r="9727" s="96" customFormat="true" ht="13.5"/>
    <row r="9728" s="96" customFormat="true" ht="13.5"/>
    <row r="9729" s="96" customFormat="true" ht="13.5"/>
    <row r="9730" s="96" customFormat="true" ht="13.5"/>
    <row r="9731" s="96" customFormat="true" ht="13.5"/>
    <row r="9732" s="96" customFormat="true" ht="13.5"/>
    <row r="9733" s="96" customFormat="true" ht="13.5"/>
    <row r="9734" s="96" customFormat="true" ht="13.5"/>
    <row r="9735" s="96" customFormat="true" ht="13.5"/>
    <row r="9736" s="96" customFormat="true" ht="13.5"/>
    <row r="9737" s="96" customFormat="true" ht="13.5"/>
    <row r="9738" s="96" customFormat="true" ht="13.5"/>
    <row r="9739" s="96" customFormat="true" ht="13.5"/>
    <row r="9740" s="96" customFormat="true" ht="13.5"/>
    <row r="9741" s="96" customFormat="true" ht="13.5"/>
    <row r="9742" s="96" customFormat="true" ht="13.5"/>
    <row r="9743" s="96" customFormat="true" ht="13.5"/>
    <row r="9744" s="96" customFormat="true" ht="13.5"/>
    <row r="9745" s="96" customFormat="true" ht="13.5"/>
    <row r="9746" s="96" customFormat="true" ht="13.5"/>
    <row r="9747" s="96" customFormat="true" ht="13.5"/>
    <row r="9748" s="96" customFormat="true" ht="13.5"/>
    <row r="9749" s="96" customFormat="true" ht="13.5"/>
    <row r="9750" s="96" customFormat="true" ht="13.5"/>
    <row r="9751" s="96" customFormat="true" ht="13.5"/>
    <row r="9752" s="96" customFormat="true" ht="13.5"/>
    <row r="9753" s="96" customFormat="true" ht="13.5"/>
    <row r="9754" s="96" customFormat="true" ht="13.5"/>
    <row r="9755" s="96" customFormat="true" ht="13.5"/>
    <row r="9756" s="96" customFormat="true" ht="13.5"/>
    <row r="9757" s="96" customFormat="true" ht="13.5"/>
    <row r="9758" s="96" customFormat="true" ht="13.5"/>
    <row r="9759" s="96" customFormat="true" ht="13.5"/>
    <row r="9760" s="96" customFormat="true" ht="13.5"/>
    <row r="9761" s="96" customFormat="true" ht="13.5"/>
    <row r="9762" s="96" customFormat="true" ht="13.5"/>
    <row r="9763" s="96" customFormat="true" ht="13.5"/>
    <row r="9764" s="96" customFormat="true" ht="13.5"/>
    <row r="9765" s="96" customFormat="true" ht="13.5"/>
    <row r="9766" s="96" customFormat="true" ht="13.5"/>
    <row r="9767" s="96" customFormat="true" ht="13.5"/>
    <row r="9768" s="96" customFormat="true" ht="13.5"/>
    <row r="9769" s="96" customFormat="true" ht="13.5"/>
    <row r="9770" s="96" customFormat="true" ht="13.5"/>
    <row r="9771" s="96" customFormat="true" ht="13.5"/>
    <row r="9772" s="96" customFormat="true" ht="13.5"/>
    <row r="9773" s="96" customFormat="true" ht="13.5"/>
    <row r="9774" s="96" customFormat="true" ht="13.5"/>
    <row r="9775" s="96" customFormat="true" ht="13.5"/>
    <row r="9776" s="96" customFormat="true" ht="13.5"/>
    <row r="9777" s="96" customFormat="true" ht="13.5"/>
    <row r="9778" s="96" customFormat="true" ht="13.5"/>
    <row r="9779" s="96" customFormat="true" ht="13.5"/>
    <row r="9780" s="96" customFormat="true" ht="13.5"/>
    <row r="9781" s="96" customFormat="true" ht="13.5"/>
    <row r="9782" s="96" customFormat="true" ht="13.5"/>
    <row r="9783" s="96" customFormat="true" ht="13.5"/>
    <row r="9784" s="96" customFormat="true" ht="13.5"/>
    <row r="9785" s="96" customFormat="true" ht="13.5"/>
    <row r="9786" s="96" customFormat="true" ht="13.5"/>
    <row r="9787" s="96" customFormat="true" ht="13.5"/>
    <row r="9788" s="96" customFormat="true" ht="13.5"/>
    <row r="9789" s="96" customFormat="true" ht="13.5"/>
    <row r="9790" s="96" customFormat="true" ht="13.5"/>
    <row r="9791" s="96" customFormat="true" ht="13.5"/>
    <row r="9792" s="96" customFormat="true" ht="13.5"/>
    <row r="9793" s="96" customFormat="true" ht="13.5"/>
    <row r="9794" s="96" customFormat="true" ht="13.5"/>
    <row r="9795" s="96" customFormat="true" ht="13.5"/>
    <row r="9796" s="96" customFormat="true" ht="13.5"/>
    <row r="9797" s="96" customFormat="true" ht="13.5"/>
    <row r="9798" s="96" customFormat="true" ht="13.5"/>
    <row r="9799" s="96" customFormat="true" ht="13.5"/>
    <row r="9800" s="96" customFormat="true" ht="13.5"/>
    <row r="9801" s="96" customFormat="true" ht="13.5"/>
    <row r="9802" s="96" customFormat="true" ht="13.5"/>
    <row r="9803" s="96" customFormat="true" ht="13.5"/>
    <row r="9804" s="96" customFormat="true" ht="13.5"/>
    <row r="9805" s="96" customFormat="true" ht="13.5"/>
    <row r="9806" s="96" customFormat="true" ht="13.5"/>
    <row r="9807" s="96" customFormat="true" ht="13.5"/>
    <row r="9808" s="96" customFormat="true" ht="13.5"/>
    <row r="9809" s="96" customFormat="true" ht="13.5"/>
    <row r="9810" s="96" customFormat="true" ht="13.5"/>
    <row r="9811" s="96" customFormat="true" ht="13.5"/>
    <row r="9812" s="96" customFormat="true" ht="13.5"/>
    <row r="9813" s="96" customFormat="true" ht="13.5"/>
    <row r="9814" s="96" customFormat="true" ht="13.5"/>
    <row r="9815" s="96" customFormat="true" ht="13.5"/>
    <row r="9816" s="96" customFormat="true" ht="13.5"/>
    <row r="9817" s="96" customFormat="true" ht="13.5"/>
    <row r="9818" s="96" customFormat="true" ht="13.5"/>
    <row r="9819" s="96" customFormat="true" ht="13.5"/>
    <row r="9820" s="96" customFormat="true" ht="13.5"/>
    <row r="9821" s="96" customFormat="true" ht="13.5"/>
    <row r="9822" s="96" customFormat="true" ht="13.5"/>
    <row r="9823" s="96" customFormat="true" ht="13.5"/>
    <row r="9824" s="96" customFormat="true" ht="13.5"/>
    <row r="9825" s="96" customFormat="true" ht="13.5"/>
    <row r="9826" s="96" customFormat="true" ht="13.5"/>
    <row r="9827" s="96" customFormat="true" ht="13.5"/>
    <row r="9828" s="96" customFormat="true" ht="13.5"/>
    <row r="9829" s="96" customFormat="true" ht="13.5"/>
    <row r="9830" s="96" customFormat="true" ht="13.5"/>
    <row r="9831" s="96" customFormat="true" ht="13.5"/>
    <row r="9832" s="96" customFormat="true" ht="13.5"/>
    <row r="9833" s="96" customFormat="true" ht="13.5"/>
    <row r="9834" s="96" customFormat="true" ht="13.5"/>
    <row r="9835" s="96" customFormat="true" ht="13.5"/>
    <row r="9836" s="96" customFormat="true" ht="13.5"/>
    <row r="9837" s="96" customFormat="true" ht="13.5"/>
    <row r="9838" s="96" customFormat="true" ht="13.5"/>
    <row r="9839" s="96" customFormat="true" ht="13.5"/>
    <row r="9840" s="96" customFormat="true" ht="13.5"/>
    <row r="9841" s="96" customFormat="true" ht="13.5"/>
    <row r="9842" s="96" customFormat="true" ht="13.5"/>
    <row r="9843" s="96" customFormat="true" ht="13.5"/>
    <row r="9844" s="96" customFormat="true" ht="13.5"/>
    <row r="9845" s="96" customFormat="true" ht="13.5"/>
    <row r="9846" s="96" customFormat="true" ht="13.5"/>
    <row r="9847" s="96" customFormat="true" ht="13.5"/>
    <row r="9848" s="96" customFormat="true" ht="13.5"/>
    <row r="9849" s="96" customFormat="true" ht="13.5"/>
    <row r="9850" s="96" customFormat="true" ht="13.5"/>
    <row r="9851" s="96" customFormat="true" ht="13.5"/>
    <row r="9852" s="96" customFormat="true" ht="13.5"/>
    <row r="9853" s="96" customFormat="true" ht="13.5"/>
    <row r="9854" s="96" customFormat="true" ht="13.5"/>
    <row r="9855" s="96" customFormat="true" ht="13.5"/>
    <row r="9856" s="96" customFormat="true" ht="13.5"/>
    <row r="9857" s="96" customFormat="true" ht="13.5"/>
    <row r="9858" s="96" customFormat="true" ht="13.5"/>
    <row r="9859" s="96" customFormat="true" ht="13.5"/>
    <row r="9860" s="96" customFormat="true" ht="13.5"/>
    <row r="9861" s="96" customFormat="true" ht="13.5"/>
    <row r="9862" s="96" customFormat="true" ht="13.5"/>
    <row r="9863" s="96" customFormat="true" ht="13.5"/>
    <row r="9864" s="96" customFormat="true" ht="13.5"/>
    <row r="9865" s="96" customFormat="true" ht="13.5"/>
    <row r="9866" s="96" customFormat="true" ht="13.5"/>
    <row r="9867" s="96" customFormat="true" ht="13.5"/>
    <row r="9868" s="96" customFormat="true" ht="13.5"/>
    <row r="9869" s="96" customFormat="true" ht="13.5"/>
    <row r="9870" s="96" customFormat="true" ht="13.5"/>
    <row r="9871" s="96" customFormat="true" ht="13.5"/>
    <row r="9872" s="96" customFormat="true" ht="13.5"/>
    <row r="9873" s="96" customFormat="true" ht="13.5"/>
    <row r="9874" s="96" customFormat="true" ht="13.5"/>
    <row r="9875" s="96" customFormat="true" ht="13.5"/>
    <row r="9876" s="96" customFormat="true" ht="13.5"/>
    <row r="9877" s="96" customFormat="true" ht="13.5"/>
    <row r="9878" s="96" customFormat="true" ht="13.5"/>
    <row r="9879" s="96" customFormat="true" ht="13.5"/>
    <row r="9880" s="96" customFormat="true" ht="13.5"/>
    <row r="9881" s="96" customFormat="true" ht="13.5"/>
    <row r="9882" s="96" customFormat="true" ht="13.5"/>
    <row r="9883" s="96" customFormat="true" ht="13.5"/>
    <row r="9884" s="96" customFormat="true" ht="13.5"/>
    <row r="9885" s="96" customFormat="true" ht="13.5"/>
    <row r="9886" s="96" customFormat="true" ht="13.5"/>
    <row r="9887" s="96" customFormat="true" ht="13.5"/>
    <row r="9888" s="96" customFormat="true" ht="13.5"/>
    <row r="9889" s="96" customFormat="true" ht="13.5"/>
    <row r="9890" s="96" customFormat="true" ht="13.5"/>
    <row r="9891" s="96" customFormat="true" ht="13.5"/>
    <row r="9892" s="96" customFormat="true" ht="13.5"/>
    <row r="9893" s="96" customFormat="true" ht="13.5"/>
    <row r="9894" s="96" customFormat="true" ht="13.5"/>
    <row r="9895" s="96" customFormat="true" ht="13.5"/>
    <row r="9896" s="96" customFormat="true" ht="13.5"/>
    <row r="9897" s="96" customFormat="true" ht="13.5"/>
    <row r="9898" s="96" customFormat="true" ht="13.5"/>
    <row r="9899" s="96" customFormat="true" ht="13.5"/>
    <row r="9900" s="96" customFormat="true" ht="13.5"/>
    <row r="9901" s="96" customFormat="true" ht="13.5"/>
    <row r="9902" s="96" customFormat="true" ht="13.5"/>
    <row r="9903" s="96" customFormat="true" ht="13.5"/>
    <row r="9904" s="96" customFormat="true" ht="13.5"/>
    <row r="9905" s="96" customFormat="true" ht="13.5"/>
    <row r="9906" s="96" customFormat="true" ht="13.5"/>
    <row r="9907" s="96" customFormat="true" ht="13.5"/>
    <row r="9908" s="96" customFormat="true" ht="13.5"/>
    <row r="9909" s="96" customFormat="true" ht="13.5"/>
    <row r="9910" s="96" customFormat="true" ht="13.5"/>
    <row r="9911" s="96" customFormat="true" ht="13.5"/>
    <row r="9912" s="96" customFormat="true" ht="13.5"/>
    <row r="9913" s="96" customFormat="true" ht="13.5"/>
    <row r="9914" s="96" customFormat="true" ht="13.5"/>
    <row r="9915" s="96" customFormat="true" ht="13.5"/>
    <row r="9916" s="96" customFormat="true" ht="13.5"/>
    <row r="9917" s="96" customFormat="true" ht="13.5"/>
    <row r="9918" s="96" customFormat="true" ht="13.5"/>
    <row r="9919" s="96" customFormat="true" ht="13.5"/>
    <row r="9920" s="96" customFormat="true" ht="13.5"/>
    <row r="9921" s="96" customFormat="true" ht="13.5"/>
    <row r="9922" s="96" customFormat="true" ht="13.5"/>
    <row r="9923" s="96" customFormat="true" ht="13.5"/>
    <row r="9924" s="96" customFormat="true" ht="13.5"/>
    <row r="9925" s="96" customFormat="true" ht="13.5"/>
    <row r="9926" s="96" customFormat="true" ht="13.5"/>
    <row r="9927" s="96" customFormat="true" ht="13.5"/>
    <row r="9928" s="96" customFormat="true" ht="13.5"/>
    <row r="9929" s="96" customFormat="true" ht="13.5"/>
    <row r="9930" s="96" customFormat="true" ht="13.5"/>
    <row r="9931" s="96" customFormat="true" ht="13.5"/>
    <row r="9932" s="96" customFormat="true" ht="13.5"/>
    <row r="9933" s="96" customFormat="true" ht="13.5"/>
    <row r="9934" s="96" customFormat="true" ht="13.5"/>
    <row r="9935" s="96" customFormat="true" ht="13.5"/>
    <row r="9936" s="96" customFormat="true" ht="13.5"/>
    <row r="9937" s="96" customFormat="true" ht="13.5"/>
    <row r="9938" s="96" customFormat="true" ht="13.5"/>
    <row r="9939" s="96" customFormat="true" ht="13.5"/>
    <row r="9940" s="96" customFormat="true" ht="13.5"/>
    <row r="9941" s="96" customFormat="true" ht="13.5"/>
    <row r="9942" s="96" customFormat="true" ht="13.5"/>
    <row r="9943" s="96" customFormat="true" ht="13.5"/>
    <row r="9944" s="96" customFormat="true" ht="13.5"/>
    <row r="9945" s="96" customFormat="true" ht="13.5"/>
    <row r="9946" s="96" customFormat="true" ht="13.5"/>
    <row r="9947" s="96" customFormat="true" ht="13.5"/>
    <row r="9948" s="96" customFormat="true" ht="13.5"/>
    <row r="9949" s="96" customFormat="true" ht="13.5"/>
    <row r="9950" s="96" customFormat="true" ht="13.5"/>
    <row r="9951" s="96" customFormat="true" ht="13.5"/>
    <row r="9952" s="96" customFormat="true" ht="13.5"/>
    <row r="9953" s="96" customFormat="true" ht="13.5"/>
    <row r="9954" s="96" customFormat="true" ht="13.5"/>
    <row r="9955" s="96" customFormat="true" ht="13.5"/>
    <row r="9956" s="96" customFormat="true" ht="13.5"/>
    <row r="9957" s="96" customFormat="true" ht="13.5"/>
    <row r="9958" s="96" customFormat="true" ht="13.5"/>
    <row r="9959" s="96" customFormat="true" ht="13.5"/>
    <row r="9960" s="96" customFormat="true" ht="13.5"/>
    <row r="9961" s="96" customFormat="true" ht="13.5"/>
    <row r="9962" s="96" customFormat="true" ht="13.5"/>
    <row r="9963" s="96" customFormat="true" ht="13.5"/>
    <row r="9964" s="96" customFormat="true" ht="13.5"/>
    <row r="9965" s="96" customFormat="true" ht="13.5"/>
    <row r="9966" s="96" customFormat="true" ht="13.5"/>
    <row r="9967" s="96" customFormat="true" ht="13.5"/>
    <row r="9968" s="96" customFormat="true" ht="13.5"/>
    <row r="9969" s="96" customFormat="true" ht="13.5"/>
    <row r="9970" s="96" customFormat="true" ht="13.5"/>
    <row r="9971" s="96" customFormat="true" ht="13.5"/>
    <row r="9972" s="96" customFormat="true" ht="13.5"/>
    <row r="9973" s="96" customFormat="true" ht="13.5"/>
    <row r="9974" s="96" customFormat="true" ht="13.5"/>
    <row r="9975" s="96" customFormat="true" ht="13.5"/>
    <row r="9976" s="96" customFormat="true" ht="13.5"/>
    <row r="9977" s="96" customFormat="true" ht="13.5"/>
    <row r="9978" s="96" customFormat="true" ht="13.5"/>
    <row r="9979" s="96" customFormat="true" ht="13.5"/>
    <row r="9980" s="96" customFormat="true" ht="13.5"/>
    <row r="9981" s="96" customFormat="true" ht="13.5"/>
    <row r="9982" s="96" customFormat="true" ht="13.5"/>
    <row r="9983" s="96" customFormat="true" ht="13.5"/>
    <row r="9984" s="96" customFormat="true" ht="13.5"/>
    <row r="9985" s="96" customFormat="true" ht="13.5"/>
    <row r="9986" s="96" customFormat="true" ht="13.5"/>
    <row r="9987" s="96" customFormat="true" ht="13.5"/>
    <row r="9988" s="96" customFormat="true" ht="13.5"/>
    <row r="9989" s="96" customFormat="true" ht="13.5"/>
    <row r="9990" s="96" customFormat="true" ht="13.5"/>
    <row r="9991" s="96" customFormat="true" ht="13.5"/>
    <row r="9992" s="96" customFormat="true" ht="13.5"/>
    <row r="9993" s="96" customFormat="true" ht="13.5"/>
    <row r="9994" s="96" customFormat="true" ht="13.5"/>
    <row r="9995" s="96" customFormat="true" ht="13.5"/>
    <row r="9996" s="96" customFormat="true" ht="13.5"/>
    <row r="9997" s="96" customFormat="true" ht="13.5"/>
    <row r="9998" s="96" customFormat="true" ht="13.5"/>
    <row r="9999" s="96" customFormat="true" ht="13.5"/>
    <row r="10000" s="96" customFormat="true" ht="13.5"/>
    <row r="10001" s="96" customFormat="true" ht="13.5"/>
    <row r="10002" s="96" customFormat="true" ht="13.5"/>
    <row r="10003" s="96" customFormat="true" ht="13.5"/>
    <row r="10004" s="96" customFormat="true" ht="13.5"/>
    <row r="10005" s="96" customFormat="true" ht="13.5"/>
    <row r="10006" s="96" customFormat="true" ht="13.5"/>
    <row r="10007" s="96" customFormat="true" ht="13.5"/>
    <row r="10008" s="96" customFormat="true" ht="13.5"/>
    <row r="10009" s="96" customFormat="true" ht="13.5"/>
    <row r="10010" s="96" customFormat="true" ht="13.5"/>
    <row r="10011" s="96" customFormat="true" ht="13.5"/>
    <row r="10012" s="96" customFormat="true" ht="13.5"/>
    <row r="10013" s="96" customFormat="true" ht="13.5"/>
    <row r="10014" s="96" customFormat="true" ht="13.5"/>
    <row r="10015" s="96" customFormat="true" ht="13.5"/>
    <row r="10016" s="96" customFormat="true" ht="13.5"/>
    <row r="10017" s="96" customFormat="true" ht="13.5"/>
    <row r="10018" s="96" customFormat="true" ht="13.5"/>
    <row r="10019" s="96" customFormat="true" ht="13.5"/>
    <row r="10020" s="96" customFormat="true" ht="13.5"/>
    <row r="10021" s="96" customFormat="true" ht="13.5"/>
    <row r="10022" s="96" customFormat="true" ht="13.5"/>
    <row r="10023" s="96" customFormat="true" ht="13.5"/>
    <row r="10024" s="96" customFormat="true" ht="13.5"/>
    <row r="10025" s="96" customFormat="true" ht="13.5"/>
    <row r="10026" s="96" customFormat="true" ht="13.5"/>
    <row r="10027" s="96" customFormat="true" ht="13.5"/>
    <row r="10028" s="96" customFormat="true" ht="13.5"/>
    <row r="10029" s="96" customFormat="true" ht="13.5"/>
    <row r="10030" s="96" customFormat="true" ht="13.5"/>
    <row r="10031" s="96" customFormat="true" ht="13.5"/>
    <row r="10032" s="96" customFormat="true" ht="13.5"/>
    <row r="10033" s="96" customFormat="true" ht="13.5"/>
    <row r="10034" s="96" customFormat="true" ht="13.5"/>
    <row r="10035" s="96" customFormat="true" ht="13.5"/>
    <row r="10036" s="96" customFormat="true" ht="13.5"/>
    <row r="10037" s="96" customFormat="true" ht="13.5"/>
    <row r="10038" s="96" customFormat="true" ht="13.5"/>
    <row r="10039" s="96" customFormat="true" ht="13.5"/>
    <row r="10040" s="96" customFormat="true" ht="13.5"/>
    <row r="10041" s="96" customFormat="true" ht="13.5"/>
    <row r="10042" s="96" customFormat="true" ht="13.5"/>
    <row r="10043" s="96" customFormat="true" ht="13.5"/>
    <row r="10044" s="96" customFormat="true" ht="13.5"/>
    <row r="10045" s="96" customFormat="true" ht="13.5"/>
    <row r="10046" s="96" customFormat="true" ht="13.5"/>
    <row r="10047" s="96" customFormat="true" ht="13.5"/>
    <row r="10048" s="96" customFormat="true" ht="13.5"/>
    <row r="10049" s="96" customFormat="true" ht="13.5"/>
    <row r="10050" s="96" customFormat="true" ht="13.5"/>
    <row r="10051" s="96" customFormat="true" ht="13.5"/>
    <row r="10052" s="96" customFormat="true" ht="13.5"/>
    <row r="10053" s="96" customFormat="true" ht="13.5"/>
    <row r="10054" s="96" customFormat="true" ht="13.5"/>
    <row r="10055" s="96" customFormat="true" ht="13.5"/>
    <row r="10056" s="96" customFormat="true" ht="13.5"/>
    <row r="10057" s="96" customFormat="true" ht="13.5"/>
    <row r="10058" s="96" customFormat="true" ht="13.5"/>
    <row r="10059" s="96" customFormat="true" ht="13.5"/>
    <row r="10060" s="96" customFormat="true" ht="13.5"/>
    <row r="10061" s="96" customFormat="true" ht="13.5"/>
    <row r="10062" s="96" customFormat="true" ht="13.5"/>
    <row r="10063" s="96" customFormat="true" ht="13.5"/>
    <row r="10064" s="96" customFormat="true" ht="13.5"/>
    <row r="10065" s="96" customFormat="true" ht="13.5"/>
    <row r="10066" s="96" customFormat="true" ht="13.5"/>
    <row r="10067" s="96" customFormat="true" ht="13.5"/>
    <row r="10068" s="96" customFormat="true" ht="13.5"/>
    <row r="10069" s="96" customFormat="true" ht="13.5"/>
    <row r="10070" s="96" customFormat="true" ht="13.5"/>
    <row r="10071" s="96" customFormat="true" ht="13.5"/>
    <row r="10072" s="96" customFormat="true" ht="13.5"/>
    <row r="10073" s="96" customFormat="true" ht="13.5"/>
    <row r="10074" s="96" customFormat="true" ht="13.5"/>
    <row r="10075" s="96" customFormat="true" ht="13.5"/>
    <row r="10076" s="96" customFormat="true" ht="13.5"/>
    <row r="10077" s="96" customFormat="true" ht="13.5"/>
    <row r="10078" s="96" customFormat="true" ht="13.5"/>
    <row r="10079" s="96" customFormat="true" ht="13.5"/>
    <row r="10080" s="96" customFormat="true" ht="13.5"/>
    <row r="10081" s="96" customFormat="true" ht="13.5"/>
    <row r="10082" s="96" customFormat="true" ht="13.5"/>
    <row r="10083" s="96" customFormat="true" ht="13.5"/>
    <row r="10084" s="96" customFormat="true" ht="13.5"/>
    <row r="10085" s="96" customFormat="true" ht="13.5"/>
    <row r="10086" s="96" customFormat="true" ht="13.5"/>
    <row r="10087" s="96" customFormat="true" ht="13.5"/>
    <row r="10088" s="96" customFormat="true" ht="13.5"/>
    <row r="10089" s="96" customFormat="true" ht="13.5"/>
    <row r="10090" s="96" customFormat="true" ht="13.5"/>
    <row r="10091" s="96" customFormat="true" ht="13.5"/>
    <row r="10092" s="96" customFormat="true" ht="13.5"/>
    <row r="10093" s="96" customFormat="true" ht="13.5"/>
    <row r="10094" s="96" customFormat="true" ht="13.5"/>
    <row r="10095" s="96" customFormat="true" ht="13.5"/>
    <row r="10096" s="96" customFormat="true" ht="13.5"/>
    <row r="10097" s="96" customFormat="true" ht="13.5"/>
    <row r="10098" s="96" customFormat="true" ht="13.5"/>
    <row r="10099" s="96" customFormat="true" ht="13.5"/>
    <row r="10100" s="96" customFormat="true" ht="13.5"/>
    <row r="10101" s="96" customFormat="true" ht="13.5"/>
    <row r="10102" s="96" customFormat="true" ht="13.5"/>
    <row r="10103" s="96" customFormat="true" ht="13.5"/>
    <row r="10104" s="96" customFormat="true" ht="13.5"/>
    <row r="10105" s="96" customFormat="true" ht="13.5"/>
    <row r="10106" s="96" customFormat="true" ht="13.5"/>
    <row r="10107" s="96" customFormat="true" ht="13.5"/>
    <row r="10108" s="96" customFormat="true" ht="13.5"/>
    <row r="10109" s="96" customFormat="true" ht="13.5"/>
    <row r="10110" s="96" customFormat="true" ht="13.5"/>
    <row r="10111" s="96" customFormat="true" ht="13.5"/>
    <row r="10112" s="96" customFormat="true" ht="13.5"/>
    <row r="10113" s="96" customFormat="true" ht="13.5"/>
    <row r="10114" s="96" customFormat="true" ht="13.5"/>
    <row r="10115" s="96" customFormat="true" ht="13.5"/>
    <row r="10116" s="96" customFormat="true" ht="13.5"/>
    <row r="10117" s="96" customFormat="true" ht="13.5"/>
    <row r="10118" s="96" customFormat="true" ht="13.5"/>
    <row r="10119" s="96" customFormat="true" ht="13.5"/>
    <row r="10120" s="96" customFormat="true" ht="13.5"/>
    <row r="10121" s="96" customFormat="true" ht="13.5"/>
    <row r="10122" s="96" customFormat="true" ht="13.5"/>
    <row r="10123" s="96" customFormat="true" ht="13.5"/>
    <row r="10124" s="96" customFormat="true" ht="13.5"/>
    <row r="10125" s="96" customFormat="true" ht="13.5"/>
    <row r="10126" s="96" customFormat="true" ht="13.5"/>
    <row r="10127" s="96" customFormat="true" ht="13.5"/>
    <row r="10128" s="96" customFormat="true" ht="13.5"/>
    <row r="10129" s="96" customFormat="true" ht="13.5"/>
    <row r="10130" s="96" customFormat="true" ht="13.5"/>
    <row r="10131" s="96" customFormat="true" ht="13.5"/>
    <row r="10132" s="96" customFormat="true" ht="13.5"/>
    <row r="10133" s="96" customFormat="true" ht="13.5"/>
    <row r="10134" s="96" customFormat="true" ht="13.5"/>
    <row r="10135" s="96" customFormat="true" ht="13.5"/>
    <row r="10136" s="96" customFormat="true" ht="13.5"/>
    <row r="10137" s="96" customFormat="true" ht="13.5"/>
    <row r="10138" s="96" customFormat="true" ht="13.5"/>
    <row r="10139" s="96" customFormat="true" ht="13.5"/>
    <row r="10140" s="96" customFormat="true" ht="13.5"/>
    <row r="10141" s="96" customFormat="true" ht="13.5"/>
    <row r="10142" s="96" customFormat="true" ht="13.5"/>
    <row r="10143" s="96" customFormat="true" ht="13.5"/>
    <row r="10144" s="96" customFormat="true" ht="13.5"/>
    <row r="10145" s="96" customFormat="true" ht="13.5"/>
    <row r="10146" s="96" customFormat="true" ht="13.5"/>
    <row r="10147" s="96" customFormat="true" ht="13.5"/>
    <row r="10148" s="96" customFormat="true" ht="13.5"/>
    <row r="10149" s="96" customFormat="true" ht="13.5"/>
    <row r="10150" s="96" customFormat="true" ht="13.5"/>
    <row r="10151" s="96" customFormat="true" ht="13.5"/>
    <row r="10152" s="96" customFormat="true" ht="13.5"/>
    <row r="10153" s="96" customFormat="true" ht="13.5"/>
    <row r="10154" s="96" customFormat="true" ht="13.5"/>
    <row r="10155" s="96" customFormat="true" ht="13.5"/>
    <row r="10156" s="96" customFormat="true" ht="13.5"/>
    <row r="10157" s="96" customFormat="true" ht="13.5"/>
    <row r="10158" s="96" customFormat="true" ht="13.5"/>
    <row r="10159" s="96" customFormat="true" ht="13.5"/>
    <row r="10160" s="96" customFormat="true" ht="13.5"/>
    <row r="10161" s="96" customFormat="true" ht="13.5"/>
    <row r="10162" s="96" customFormat="true" ht="13.5"/>
    <row r="10163" s="96" customFormat="true" ht="13.5"/>
    <row r="10164" s="96" customFormat="true" ht="13.5"/>
    <row r="10165" s="96" customFormat="true" ht="13.5"/>
    <row r="10166" s="96" customFormat="true" ht="13.5"/>
    <row r="10167" s="96" customFormat="true" ht="13.5"/>
    <row r="10168" s="96" customFormat="true" ht="13.5"/>
    <row r="10169" s="96" customFormat="true" ht="13.5"/>
    <row r="10170" s="96" customFormat="true" ht="13.5"/>
    <row r="10171" s="96" customFormat="true" ht="13.5"/>
    <row r="10172" s="96" customFormat="true" ht="13.5"/>
    <row r="10173" s="96" customFormat="true" ht="13.5"/>
    <row r="10174" s="96" customFormat="true" ht="13.5"/>
    <row r="10175" s="96" customFormat="true" ht="13.5"/>
    <row r="10176" s="96" customFormat="true" ht="13.5"/>
    <row r="10177" s="96" customFormat="true" ht="13.5"/>
    <row r="10178" s="96" customFormat="true" ht="13.5"/>
    <row r="10179" s="96" customFormat="true" ht="13.5"/>
    <row r="10180" s="96" customFormat="true" ht="13.5"/>
    <row r="10181" s="96" customFormat="true" ht="13.5"/>
    <row r="10182" s="96" customFormat="true" ht="13.5"/>
    <row r="10183" s="96" customFormat="true" ht="13.5"/>
    <row r="10184" s="96" customFormat="true" ht="13.5"/>
    <row r="10185" s="96" customFormat="true" ht="13.5"/>
    <row r="10186" s="96" customFormat="true" ht="13.5"/>
    <row r="10187" s="96" customFormat="true" ht="13.5"/>
    <row r="10188" s="96" customFormat="true" ht="13.5"/>
    <row r="10189" s="96" customFormat="true" ht="13.5"/>
    <row r="10190" s="96" customFormat="true" ht="13.5"/>
    <row r="10191" s="96" customFormat="true" ht="13.5"/>
    <row r="10192" s="96" customFormat="true" ht="13.5"/>
    <row r="10193" s="96" customFormat="true" ht="13.5"/>
    <row r="10194" s="96" customFormat="true" ht="13.5"/>
    <row r="10195" s="96" customFormat="true" ht="13.5"/>
    <row r="10196" s="96" customFormat="true" ht="13.5"/>
    <row r="10197" s="96" customFormat="true" ht="13.5"/>
    <row r="10198" s="96" customFormat="true" ht="13.5"/>
    <row r="10199" s="96" customFormat="true" ht="13.5"/>
    <row r="10200" s="96" customFormat="true" ht="13.5"/>
    <row r="10201" s="96" customFormat="true" ht="13.5"/>
    <row r="10202" s="96" customFormat="true" ht="13.5"/>
    <row r="10203" s="96" customFormat="true" ht="13.5"/>
    <row r="10204" s="96" customFormat="true" ht="13.5"/>
    <row r="10205" s="96" customFormat="true" ht="13.5"/>
    <row r="10206" s="96" customFormat="true" ht="13.5"/>
    <row r="10207" s="96" customFormat="true" ht="13.5"/>
    <row r="10208" s="96" customFormat="true" ht="13.5"/>
    <row r="10209" s="96" customFormat="true" ht="13.5"/>
    <row r="10210" s="96" customFormat="true" ht="13.5"/>
    <row r="10211" s="96" customFormat="true" ht="13.5"/>
    <row r="10212" s="96" customFormat="true" ht="13.5"/>
    <row r="10213" s="96" customFormat="true" ht="13.5"/>
    <row r="10214" s="96" customFormat="true" ht="13.5"/>
    <row r="10215" s="96" customFormat="true" ht="13.5"/>
    <row r="10216" s="96" customFormat="true" ht="13.5"/>
    <row r="10217" s="96" customFormat="true" ht="13.5"/>
    <row r="10218" s="96" customFormat="true" ht="13.5"/>
    <row r="10219" s="96" customFormat="true" ht="13.5"/>
    <row r="10220" s="96" customFormat="true" ht="13.5"/>
    <row r="10221" s="96" customFormat="true" ht="13.5"/>
    <row r="10222" s="96" customFormat="true" ht="13.5"/>
    <row r="10223" s="96" customFormat="true" ht="13.5"/>
    <row r="10224" s="96" customFormat="true" ht="13.5"/>
    <row r="10225" s="96" customFormat="true" ht="13.5"/>
    <row r="10226" s="96" customFormat="true" ht="13.5"/>
    <row r="10227" s="96" customFormat="true" ht="13.5"/>
    <row r="10228" s="96" customFormat="true" ht="13.5"/>
    <row r="10229" s="96" customFormat="true" ht="13.5"/>
    <row r="10230" s="96" customFormat="true" ht="13.5"/>
    <row r="10231" s="96" customFormat="true" ht="13.5"/>
    <row r="10232" s="96" customFormat="true" ht="13.5"/>
    <row r="10233" s="96" customFormat="true" ht="13.5"/>
    <row r="10234" s="96" customFormat="true" ht="13.5"/>
    <row r="10235" s="96" customFormat="true" ht="13.5"/>
    <row r="10236" s="96" customFormat="true" ht="13.5"/>
    <row r="10237" s="96" customFormat="true" ht="13.5"/>
    <row r="10238" s="96" customFormat="true" ht="13.5"/>
    <row r="10239" s="96" customFormat="true" ht="13.5"/>
    <row r="10240" s="96" customFormat="true" ht="13.5"/>
    <row r="10241" s="96" customFormat="true" ht="13.5"/>
    <row r="10242" s="96" customFormat="true" ht="13.5"/>
    <row r="10243" s="96" customFormat="true" ht="13.5"/>
    <row r="10244" s="96" customFormat="true" ht="13.5"/>
    <row r="10245" s="96" customFormat="true" ht="13.5"/>
    <row r="10246" s="96" customFormat="true" ht="13.5"/>
    <row r="10247" s="96" customFormat="true" ht="13.5"/>
    <row r="10248" s="96" customFormat="true" ht="13.5"/>
    <row r="10249" s="96" customFormat="true" ht="13.5"/>
    <row r="10250" s="96" customFormat="true" ht="13.5"/>
    <row r="10251" s="96" customFormat="true" ht="13.5"/>
    <row r="10252" s="96" customFormat="true" ht="13.5"/>
    <row r="10253" s="96" customFormat="true" ht="13.5"/>
    <row r="10254" s="96" customFormat="true" ht="13.5"/>
    <row r="10255" s="96" customFormat="true" ht="13.5"/>
    <row r="10256" s="96" customFormat="true" ht="13.5"/>
    <row r="10257" s="96" customFormat="true" ht="13.5"/>
    <row r="10258" s="96" customFormat="true" ht="13.5"/>
    <row r="10259" s="96" customFormat="true" ht="13.5"/>
    <row r="10260" s="96" customFormat="true" ht="13.5"/>
    <row r="10261" s="96" customFormat="true" ht="13.5"/>
    <row r="10262" s="96" customFormat="true" ht="13.5"/>
    <row r="10263" s="96" customFormat="true" ht="13.5"/>
    <row r="10264" s="96" customFormat="true" ht="13.5"/>
    <row r="10265" s="96" customFormat="true" ht="13.5"/>
    <row r="10266" s="96" customFormat="true" ht="13.5"/>
    <row r="10267" s="96" customFormat="true" ht="13.5"/>
    <row r="10268" s="96" customFormat="true" ht="13.5"/>
    <row r="10269" s="96" customFormat="true" ht="13.5"/>
    <row r="10270" s="96" customFormat="true" ht="13.5"/>
    <row r="10271" s="96" customFormat="true" ht="13.5"/>
    <row r="10272" s="96" customFormat="true" ht="13.5"/>
    <row r="10273" s="96" customFormat="true" ht="13.5"/>
    <row r="10274" s="96" customFormat="true" ht="13.5"/>
    <row r="10275" s="96" customFormat="true" ht="13.5"/>
    <row r="10276" s="96" customFormat="true" ht="13.5"/>
    <row r="10277" s="96" customFormat="true" ht="13.5"/>
    <row r="10278" s="96" customFormat="true" ht="13.5"/>
    <row r="10279" s="96" customFormat="true" ht="13.5"/>
    <row r="10280" s="96" customFormat="true" ht="13.5"/>
    <row r="10281" s="96" customFormat="true" ht="13.5"/>
    <row r="10282" s="96" customFormat="true" ht="13.5"/>
    <row r="10283" s="96" customFormat="true" ht="13.5"/>
    <row r="10284" s="96" customFormat="true" ht="13.5"/>
    <row r="10285" s="96" customFormat="true" ht="13.5"/>
    <row r="10286" s="96" customFormat="true" ht="13.5"/>
    <row r="10287" s="96" customFormat="true" ht="13.5"/>
    <row r="10288" s="96" customFormat="true" ht="13.5"/>
    <row r="10289" s="96" customFormat="true" ht="13.5"/>
    <row r="10290" s="96" customFormat="true" ht="13.5"/>
    <row r="10291" s="96" customFormat="true" ht="13.5"/>
    <row r="10292" s="96" customFormat="true" ht="13.5"/>
    <row r="10293" s="96" customFormat="true" ht="13.5"/>
    <row r="10294" s="96" customFormat="true" ht="13.5"/>
    <row r="10295" s="96" customFormat="true" ht="13.5"/>
    <row r="10296" s="96" customFormat="true" ht="13.5"/>
    <row r="10297" s="96" customFormat="true" ht="13.5"/>
    <row r="10298" s="96" customFormat="true" ht="13.5"/>
    <row r="10299" s="96" customFormat="true" ht="13.5"/>
    <row r="10300" s="96" customFormat="true" ht="13.5"/>
    <row r="10301" s="96" customFormat="true" ht="13.5"/>
    <row r="10302" s="96" customFormat="true" ht="13.5"/>
    <row r="10303" s="96" customFormat="true" ht="13.5"/>
    <row r="10304" s="96" customFormat="true" ht="13.5"/>
    <row r="10305" s="96" customFormat="true" ht="13.5"/>
    <row r="10306" s="96" customFormat="true" ht="13.5"/>
    <row r="10307" s="96" customFormat="true" ht="13.5"/>
    <row r="10308" s="96" customFormat="true" ht="13.5"/>
    <row r="10309" s="96" customFormat="true" ht="13.5"/>
    <row r="10310" s="96" customFormat="true" ht="13.5"/>
    <row r="10311" s="96" customFormat="true" ht="13.5"/>
    <row r="10312" s="96" customFormat="true" ht="13.5"/>
    <row r="10313" s="96" customFormat="true" ht="13.5"/>
    <row r="10314" s="96" customFormat="true" ht="13.5"/>
    <row r="10315" s="96" customFormat="true" ht="13.5"/>
    <row r="10316" s="96" customFormat="true" ht="13.5"/>
    <row r="10317" s="96" customFormat="true" ht="13.5"/>
    <row r="10318" s="96" customFormat="true" ht="13.5"/>
    <row r="10319" s="96" customFormat="true" ht="13.5"/>
    <row r="10320" s="96" customFormat="true" ht="13.5"/>
    <row r="10321" s="96" customFormat="true" ht="13.5"/>
    <row r="10322" s="96" customFormat="true" ht="13.5"/>
    <row r="10323" s="96" customFormat="true" ht="13.5"/>
    <row r="10324" s="96" customFormat="true" ht="13.5"/>
    <row r="10325" s="96" customFormat="true" ht="13.5"/>
    <row r="10326" s="96" customFormat="true" ht="13.5"/>
    <row r="10327" s="96" customFormat="true" ht="13.5"/>
    <row r="10328" s="96" customFormat="true" ht="13.5"/>
    <row r="10329" s="96" customFormat="true" ht="13.5"/>
    <row r="10330" s="96" customFormat="true" ht="13.5"/>
    <row r="10331" s="96" customFormat="true" ht="13.5"/>
    <row r="10332" s="96" customFormat="true" ht="13.5"/>
    <row r="10333" s="96" customFormat="true" ht="13.5"/>
    <row r="10334" s="96" customFormat="true" ht="13.5"/>
    <row r="10335" s="96" customFormat="true" ht="13.5"/>
    <row r="10336" s="96" customFormat="true" ht="13.5"/>
    <row r="10337" s="96" customFormat="true" ht="13.5"/>
    <row r="10338" s="96" customFormat="true" ht="13.5"/>
    <row r="10339" s="96" customFormat="true" ht="13.5"/>
    <row r="10340" s="96" customFormat="true" ht="13.5"/>
    <row r="10341" s="96" customFormat="true" ht="13.5"/>
    <row r="10342" s="96" customFormat="true" ht="13.5"/>
    <row r="10343" s="96" customFormat="true" ht="13.5"/>
    <row r="10344" s="96" customFormat="true" ht="13.5"/>
    <row r="10345" s="96" customFormat="true" ht="13.5"/>
    <row r="10346" s="96" customFormat="true" ht="13.5"/>
    <row r="10347" s="96" customFormat="true" ht="13.5"/>
    <row r="10348" s="96" customFormat="true" ht="13.5"/>
    <row r="10349" s="96" customFormat="true" ht="13.5"/>
    <row r="10350" s="96" customFormat="true" ht="13.5"/>
    <row r="10351" s="96" customFormat="true" ht="13.5"/>
    <row r="10352" s="96" customFormat="true" ht="13.5"/>
    <row r="10353" s="96" customFormat="true" ht="13.5"/>
    <row r="10354" s="96" customFormat="true" ht="13.5"/>
    <row r="10355" s="96" customFormat="true" ht="13.5"/>
    <row r="10356" s="96" customFormat="true" ht="13.5"/>
    <row r="10357" s="96" customFormat="true" ht="13.5"/>
    <row r="10358" s="96" customFormat="true" ht="13.5"/>
    <row r="10359" s="96" customFormat="true" ht="13.5"/>
    <row r="10360" s="96" customFormat="true" ht="13.5"/>
    <row r="10361" s="96" customFormat="true" ht="13.5"/>
    <row r="10362" s="96" customFormat="true" ht="13.5"/>
    <row r="10363" s="96" customFormat="true" ht="13.5"/>
    <row r="10364" s="96" customFormat="true" ht="13.5"/>
    <row r="10365" s="96" customFormat="true" ht="13.5"/>
    <row r="10366" s="96" customFormat="true" ht="13.5"/>
    <row r="10367" s="96" customFormat="true" ht="13.5"/>
    <row r="10368" s="96" customFormat="true" ht="13.5"/>
    <row r="10369" s="96" customFormat="true" ht="13.5"/>
    <row r="10370" s="96" customFormat="true" ht="13.5"/>
    <row r="10371" s="96" customFormat="true" ht="13.5"/>
    <row r="10372" s="96" customFormat="true" ht="13.5"/>
    <row r="10373" s="96" customFormat="true" ht="13.5"/>
    <row r="10374" s="96" customFormat="true" ht="13.5"/>
    <row r="10375" s="96" customFormat="true" ht="13.5"/>
    <row r="10376" s="96" customFormat="true" ht="13.5"/>
    <row r="10377" s="96" customFormat="true" ht="13.5"/>
    <row r="10378" s="96" customFormat="true" ht="13.5"/>
    <row r="10379" s="96" customFormat="true" ht="13.5"/>
    <row r="10380" s="96" customFormat="true" ht="13.5"/>
    <row r="10381" s="96" customFormat="true" ht="13.5"/>
    <row r="10382" s="96" customFormat="true" ht="13.5"/>
    <row r="10383" s="96" customFormat="true" ht="13.5"/>
    <row r="10384" s="96" customFormat="true" ht="13.5"/>
    <row r="10385" s="96" customFormat="true" ht="13.5"/>
    <row r="10386" s="96" customFormat="true" ht="13.5"/>
    <row r="10387" s="96" customFormat="true" ht="13.5"/>
    <row r="10388" s="96" customFormat="true" ht="13.5"/>
    <row r="10389" s="96" customFormat="true" ht="13.5"/>
    <row r="10390" s="96" customFormat="true" ht="13.5"/>
    <row r="10391" s="96" customFormat="true" ht="13.5"/>
    <row r="10392" s="96" customFormat="true" ht="13.5"/>
    <row r="10393" s="96" customFormat="true" ht="13.5"/>
    <row r="10394" s="96" customFormat="true" ht="13.5"/>
    <row r="10395" s="96" customFormat="true" ht="13.5"/>
    <row r="10396" s="96" customFormat="true" ht="13.5"/>
    <row r="10397" s="96" customFormat="true" ht="13.5"/>
    <row r="10398" s="96" customFormat="true" ht="13.5"/>
    <row r="10399" s="96" customFormat="true" ht="13.5"/>
    <row r="10400" s="96" customFormat="true" ht="13.5"/>
    <row r="10401" s="96" customFormat="true" ht="13.5"/>
    <row r="10402" s="96" customFormat="true" ht="13.5"/>
    <row r="10403" s="96" customFormat="true" ht="13.5"/>
    <row r="10404" s="96" customFormat="true" ht="13.5"/>
    <row r="10405" s="96" customFormat="true" ht="13.5"/>
    <row r="10406" s="96" customFormat="true" ht="13.5"/>
    <row r="10407" s="96" customFormat="true" ht="13.5"/>
    <row r="10408" s="96" customFormat="true" ht="13.5"/>
    <row r="10409" s="96" customFormat="true" ht="13.5"/>
    <row r="10410" s="96" customFormat="true" ht="13.5"/>
    <row r="10411" s="96" customFormat="true" ht="13.5"/>
    <row r="10412" s="96" customFormat="true" ht="13.5"/>
    <row r="10413" s="96" customFormat="true" ht="13.5"/>
    <row r="10414" s="96" customFormat="true" ht="13.5"/>
    <row r="10415" s="96" customFormat="true" ht="13.5"/>
    <row r="10416" s="96" customFormat="true" ht="13.5"/>
    <row r="10417" s="96" customFormat="true" ht="13.5"/>
    <row r="10418" s="96" customFormat="true" ht="13.5"/>
    <row r="10419" s="96" customFormat="true" ht="13.5"/>
    <row r="10420" s="96" customFormat="true" ht="13.5"/>
    <row r="10421" s="96" customFormat="true" ht="13.5"/>
    <row r="10422" s="96" customFormat="true" ht="13.5"/>
    <row r="10423" s="96" customFormat="true" ht="13.5"/>
    <row r="10424" s="96" customFormat="true" ht="13.5"/>
    <row r="10425" s="96" customFormat="true" ht="13.5"/>
    <row r="10426" s="96" customFormat="true" ht="13.5"/>
    <row r="10427" s="96" customFormat="true" ht="13.5"/>
    <row r="10428" s="96" customFormat="true" ht="13.5"/>
    <row r="10429" s="96" customFormat="true" ht="13.5"/>
    <row r="10430" s="96" customFormat="true" ht="13.5"/>
    <row r="10431" s="96" customFormat="true" ht="13.5"/>
    <row r="10432" s="96" customFormat="true" ht="13.5"/>
    <row r="10433" s="96" customFormat="true" ht="13.5"/>
    <row r="10434" s="96" customFormat="true" ht="13.5"/>
    <row r="10435" s="96" customFormat="true" ht="13.5"/>
    <row r="10436" s="96" customFormat="true" ht="13.5"/>
    <row r="10437" s="96" customFormat="true" ht="13.5"/>
    <row r="10438" s="96" customFormat="true" ht="13.5"/>
    <row r="10439" s="96" customFormat="true" ht="13.5"/>
    <row r="10440" s="96" customFormat="true" ht="13.5"/>
    <row r="10441" s="96" customFormat="true" ht="13.5"/>
    <row r="10442" s="96" customFormat="true" ht="13.5"/>
    <row r="10443" s="96" customFormat="true" ht="13.5"/>
    <row r="10444" s="96" customFormat="true" ht="13.5"/>
    <row r="10445" s="96" customFormat="true" ht="13.5"/>
    <row r="10446" s="96" customFormat="true" ht="13.5"/>
    <row r="10447" s="96" customFormat="true" ht="13.5"/>
    <row r="10448" s="96" customFormat="true" ht="13.5"/>
    <row r="10449" s="96" customFormat="true" ht="13.5"/>
    <row r="10450" s="96" customFormat="true" ht="13.5"/>
    <row r="10451" s="96" customFormat="true" ht="13.5"/>
    <row r="10452" s="96" customFormat="true" ht="13.5"/>
    <row r="10453" s="96" customFormat="true" ht="13.5"/>
    <row r="10454" s="96" customFormat="true" ht="13.5"/>
    <row r="10455" s="96" customFormat="true" ht="13.5"/>
    <row r="10456" s="96" customFormat="true" ht="13.5"/>
    <row r="10457" s="96" customFormat="true" ht="13.5"/>
    <row r="10458" s="96" customFormat="true" ht="13.5"/>
    <row r="10459" s="96" customFormat="true" ht="13.5"/>
    <row r="10460" s="96" customFormat="true" ht="13.5"/>
    <row r="10461" s="96" customFormat="true" ht="13.5"/>
    <row r="10462" s="96" customFormat="true" ht="13.5"/>
    <row r="10463" s="96" customFormat="true" ht="13.5"/>
    <row r="10464" s="96" customFormat="true" ht="13.5"/>
    <row r="10465" s="96" customFormat="true" ht="13.5"/>
    <row r="10466" s="96" customFormat="true" ht="13.5"/>
    <row r="10467" s="96" customFormat="true" ht="13.5"/>
    <row r="10468" s="96" customFormat="true" ht="13.5"/>
    <row r="10469" s="96" customFormat="true" ht="13.5"/>
    <row r="10470" s="96" customFormat="true" ht="13.5"/>
    <row r="10471" s="96" customFormat="true" ht="13.5"/>
    <row r="10472" s="96" customFormat="true" ht="13.5"/>
    <row r="10473" s="96" customFormat="true" ht="13.5"/>
    <row r="10474" s="96" customFormat="true" ht="13.5"/>
    <row r="10475" s="96" customFormat="true" ht="13.5"/>
    <row r="10476" s="96" customFormat="true" ht="13.5"/>
    <row r="10477" s="96" customFormat="true" ht="13.5"/>
    <row r="10478" s="96" customFormat="true" ht="13.5"/>
    <row r="10479" s="96" customFormat="true" ht="13.5"/>
    <row r="10480" s="96" customFormat="true" ht="13.5"/>
    <row r="10481" s="96" customFormat="true" ht="13.5"/>
    <row r="10482" s="96" customFormat="true" ht="13.5"/>
    <row r="10483" s="96" customFormat="true" ht="13.5"/>
    <row r="10484" s="96" customFormat="true" ht="13.5"/>
    <row r="10485" s="96" customFormat="true" ht="13.5"/>
    <row r="10486" s="96" customFormat="true" ht="13.5"/>
    <row r="10487" s="96" customFormat="true" ht="13.5"/>
    <row r="10488" s="96" customFormat="true" ht="13.5"/>
    <row r="10489" s="96" customFormat="true" ht="13.5"/>
    <row r="10490" s="96" customFormat="true" ht="13.5"/>
    <row r="10491" s="96" customFormat="true" ht="13.5"/>
    <row r="10492" s="96" customFormat="true" ht="13.5"/>
    <row r="10493" s="96" customFormat="true" ht="13.5"/>
    <row r="10494" s="96" customFormat="true" ht="13.5"/>
    <row r="10495" s="96" customFormat="true" ht="13.5"/>
    <row r="10496" s="96" customFormat="true" ht="13.5"/>
    <row r="10497" s="96" customFormat="true" ht="13.5"/>
    <row r="10498" s="96" customFormat="true" ht="13.5"/>
    <row r="10499" s="96" customFormat="true" ht="13.5"/>
    <row r="10500" s="96" customFormat="true" ht="13.5"/>
    <row r="10501" s="96" customFormat="true" ht="13.5"/>
    <row r="10502" s="96" customFormat="true" ht="13.5"/>
    <row r="10503" s="96" customFormat="true" ht="13.5"/>
    <row r="10504" s="96" customFormat="true" ht="13.5"/>
    <row r="10505" s="96" customFormat="true" ht="13.5"/>
    <row r="10506" s="96" customFormat="true" ht="13.5"/>
    <row r="10507" s="96" customFormat="true" ht="13.5"/>
    <row r="10508" s="96" customFormat="true" ht="13.5"/>
    <row r="10509" s="96" customFormat="true" ht="13.5"/>
    <row r="10510" s="96" customFormat="true" ht="13.5"/>
    <row r="10511" s="96" customFormat="true" ht="13.5"/>
    <row r="10512" s="96" customFormat="true" ht="13.5"/>
    <row r="10513" s="96" customFormat="true" ht="13.5"/>
    <row r="10514" s="96" customFormat="true" ht="13.5"/>
    <row r="10515" s="96" customFormat="true" ht="13.5"/>
    <row r="10516" s="96" customFormat="true" ht="13.5"/>
    <row r="10517" s="96" customFormat="true" ht="13.5"/>
    <row r="10518" s="96" customFormat="true" ht="13.5"/>
    <row r="10519" s="96" customFormat="true" ht="13.5"/>
    <row r="10520" s="96" customFormat="true" ht="13.5"/>
    <row r="10521" s="96" customFormat="true" ht="13.5"/>
    <row r="10522" s="96" customFormat="true" ht="13.5"/>
    <row r="10523" s="96" customFormat="true" ht="13.5"/>
    <row r="10524" s="96" customFormat="true" ht="13.5"/>
    <row r="10525" s="96" customFormat="true" ht="13.5"/>
    <row r="10526" s="96" customFormat="true" ht="13.5"/>
    <row r="10527" s="96" customFormat="true" ht="13.5"/>
    <row r="10528" s="96" customFormat="true" ht="13.5"/>
    <row r="10529" s="96" customFormat="true" ht="13.5"/>
    <row r="10530" s="96" customFormat="true" ht="13.5"/>
    <row r="10531" s="96" customFormat="true" ht="13.5"/>
    <row r="10532" s="96" customFormat="true" ht="13.5"/>
    <row r="10533" s="96" customFormat="true" ht="13.5"/>
    <row r="10534" s="96" customFormat="true" ht="13.5"/>
    <row r="10535" s="96" customFormat="true" ht="13.5"/>
    <row r="10536" s="96" customFormat="true" ht="13.5"/>
    <row r="10537" s="96" customFormat="true" ht="13.5"/>
    <row r="10538" s="96" customFormat="true" ht="13.5"/>
    <row r="10539" s="96" customFormat="true" ht="13.5"/>
    <row r="10540" s="96" customFormat="true" ht="13.5"/>
    <row r="10541" s="96" customFormat="true" ht="13.5"/>
    <row r="10542" s="96" customFormat="true" ht="13.5"/>
    <row r="10543" s="96" customFormat="true" ht="13.5"/>
    <row r="10544" s="96" customFormat="true" ht="13.5"/>
    <row r="10545" s="96" customFormat="true" ht="13.5"/>
    <row r="10546" s="96" customFormat="true" ht="13.5"/>
    <row r="10547" s="96" customFormat="true" ht="13.5"/>
    <row r="10548" s="96" customFormat="true" ht="13.5"/>
    <row r="10549" s="96" customFormat="true" ht="13.5"/>
    <row r="10550" s="96" customFormat="true" ht="13.5"/>
    <row r="10551" s="96" customFormat="true" ht="13.5"/>
    <row r="10552" s="96" customFormat="true" ht="13.5"/>
    <row r="10553" s="96" customFormat="true" ht="13.5"/>
    <row r="10554" s="96" customFormat="true" ht="13.5"/>
    <row r="10555" s="96" customFormat="true" ht="13.5"/>
    <row r="10556" s="96" customFormat="true" ht="13.5"/>
    <row r="10557" s="96" customFormat="true" ht="13.5"/>
    <row r="10558" s="96" customFormat="true" ht="13.5"/>
    <row r="10559" s="96" customFormat="true" ht="13.5"/>
    <row r="10560" s="96" customFormat="true" ht="13.5"/>
    <row r="10561" s="96" customFormat="true" ht="13.5"/>
    <row r="10562" s="96" customFormat="true" ht="13.5"/>
    <row r="10563" s="96" customFormat="true" ht="13.5"/>
    <row r="10564" s="96" customFormat="true" ht="13.5"/>
    <row r="10565" s="96" customFormat="true" ht="13.5"/>
    <row r="10566" s="96" customFormat="true" ht="13.5"/>
    <row r="10567" s="96" customFormat="true" ht="13.5"/>
    <row r="10568" s="96" customFormat="true" ht="13.5"/>
    <row r="10569" s="96" customFormat="true" ht="13.5"/>
    <row r="10570" s="96" customFormat="true" ht="13.5"/>
    <row r="10571" s="96" customFormat="true" ht="13.5"/>
    <row r="10572" s="96" customFormat="true" ht="13.5"/>
    <row r="10573" s="96" customFormat="true" ht="13.5"/>
    <row r="10574" s="96" customFormat="true" ht="13.5"/>
    <row r="10575" s="96" customFormat="true" ht="13.5"/>
    <row r="10576" s="96" customFormat="true" ht="13.5"/>
    <row r="10577" s="96" customFormat="true" ht="13.5"/>
    <row r="10578" s="96" customFormat="true" ht="13.5"/>
    <row r="10579" s="96" customFormat="true" ht="13.5"/>
    <row r="10580" s="96" customFormat="true" ht="13.5"/>
    <row r="10581" s="96" customFormat="true" ht="13.5"/>
    <row r="10582" s="96" customFormat="true" ht="13.5"/>
    <row r="10583" s="96" customFormat="true" ht="13.5"/>
    <row r="10584" s="96" customFormat="true" ht="13.5"/>
    <row r="10585" s="96" customFormat="true" ht="13.5"/>
    <row r="10586" s="96" customFormat="true" ht="13.5"/>
    <row r="10587" s="96" customFormat="true" ht="13.5"/>
    <row r="10588" s="96" customFormat="true" ht="13.5"/>
    <row r="10589" s="96" customFormat="true" ht="13.5"/>
    <row r="10590" s="96" customFormat="true" ht="13.5"/>
    <row r="10591" s="96" customFormat="true" ht="13.5"/>
    <row r="10592" s="96" customFormat="true" ht="13.5"/>
    <row r="10593" s="96" customFormat="true" ht="13.5"/>
    <row r="10594" s="96" customFormat="true" ht="13.5"/>
    <row r="10595" s="96" customFormat="true" ht="13.5"/>
    <row r="10596" s="96" customFormat="true" ht="13.5"/>
    <row r="10597" s="96" customFormat="true" ht="13.5"/>
    <row r="10598" s="96" customFormat="true" ht="13.5"/>
    <row r="10599" s="96" customFormat="true" ht="13.5"/>
    <row r="10600" s="96" customFormat="true" ht="13.5"/>
    <row r="10601" s="96" customFormat="true" ht="13.5"/>
    <row r="10602" s="96" customFormat="true" ht="13.5"/>
    <row r="10603" s="96" customFormat="true" ht="13.5"/>
    <row r="10604" s="96" customFormat="true" ht="13.5"/>
    <row r="10605" s="96" customFormat="true" ht="13.5"/>
    <row r="10606" s="96" customFormat="true" ht="13.5"/>
    <row r="10607" s="96" customFormat="true" ht="13.5"/>
    <row r="10608" s="96" customFormat="true" ht="13.5"/>
    <row r="10609" s="96" customFormat="true" ht="13.5"/>
    <row r="10610" s="96" customFormat="true" ht="13.5"/>
    <row r="10611" s="96" customFormat="true" ht="13.5"/>
    <row r="10612" s="96" customFormat="true" ht="13.5"/>
    <row r="10613" s="96" customFormat="true" ht="13.5"/>
    <row r="10614" s="96" customFormat="true" ht="13.5"/>
    <row r="10615" s="96" customFormat="true" ht="13.5"/>
    <row r="10616" s="96" customFormat="true" ht="13.5"/>
    <row r="10617" s="96" customFormat="true" ht="13.5"/>
    <row r="10618" s="96" customFormat="true" ht="13.5"/>
    <row r="10619" s="96" customFormat="true" ht="13.5"/>
    <row r="10620" s="96" customFormat="true" ht="13.5"/>
    <row r="10621" s="96" customFormat="true" ht="13.5"/>
    <row r="10622" s="96" customFormat="true" ht="13.5"/>
    <row r="10623" s="96" customFormat="true" ht="13.5"/>
    <row r="10624" s="96" customFormat="true" ht="13.5"/>
    <row r="10625" s="96" customFormat="true" ht="13.5"/>
    <row r="10626" s="96" customFormat="true" ht="13.5"/>
    <row r="10627" s="96" customFormat="true" ht="13.5"/>
    <row r="10628" s="96" customFormat="true" ht="13.5"/>
    <row r="10629" s="96" customFormat="true" ht="13.5"/>
    <row r="10630" s="96" customFormat="true" ht="13.5"/>
    <row r="10631" s="96" customFormat="true" ht="13.5"/>
    <row r="10632" s="96" customFormat="true" ht="13.5"/>
    <row r="10633" s="96" customFormat="true" ht="13.5"/>
    <row r="10634" s="96" customFormat="true" ht="13.5"/>
    <row r="10635" s="96" customFormat="true" ht="13.5"/>
    <row r="10636" s="96" customFormat="true" ht="13.5"/>
    <row r="10637" s="96" customFormat="true" ht="13.5"/>
    <row r="10638" s="96" customFormat="true" ht="13.5"/>
    <row r="10639" s="96" customFormat="true" ht="13.5"/>
    <row r="10640" s="96" customFormat="true" ht="13.5"/>
    <row r="10641" s="96" customFormat="true" ht="13.5"/>
    <row r="10642" s="96" customFormat="true" ht="13.5"/>
    <row r="10643" s="96" customFormat="true" ht="13.5"/>
    <row r="10644" s="96" customFormat="true" ht="13.5"/>
    <row r="10645" s="96" customFormat="true" ht="13.5"/>
    <row r="10646" s="96" customFormat="true" ht="13.5"/>
    <row r="10647" s="96" customFormat="true" ht="13.5"/>
    <row r="10648" s="96" customFormat="true" ht="13.5"/>
    <row r="10649" s="96" customFormat="true" ht="13.5"/>
    <row r="10650" s="96" customFormat="true" ht="13.5"/>
    <row r="10651" s="96" customFormat="true" ht="13.5"/>
    <row r="10652" s="96" customFormat="true" ht="13.5"/>
    <row r="10653" s="96" customFormat="true" ht="13.5"/>
    <row r="10654" s="96" customFormat="true" ht="13.5"/>
    <row r="10655" s="96" customFormat="true" ht="13.5"/>
    <row r="10656" s="96" customFormat="true" ht="13.5"/>
    <row r="10657" s="96" customFormat="true" ht="13.5"/>
    <row r="10658" s="96" customFormat="true" ht="13.5"/>
    <row r="10659" s="96" customFormat="true" ht="13.5"/>
    <row r="10660" s="96" customFormat="true" ht="13.5"/>
    <row r="10661" s="96" customFormat="true" ht="13.5"/>
    <row r="10662" s="96" customFormat="true" ht="13.5"/>
    <row r="10663" s="96" customFormat="true" ht="13.5"/>
    <row r="10664" s="96" customFormat="true" ht="13.5"/>
    <row r="10665" s="96" customFormat="true" ht="13.5"/>
    <row r="10666" s="96" customFormat="true" ht="13.5"/>
    <row r="10667" s="96" customFormat="true" ht="13.5"/>
    <row r="10668" s="96" customFormat="true" ht="13.5"/>
    <row r="10669" s="96" customFormat="true" ht="13.5"/>
    <row r="10670" s="96" customFormat="true" ht="13.5"/>
    <row r="10671" s="96" customFormat="true" ht="13.5"/>
    <row r="10672" s="96" customFormat="true" ht="13.5"/>
    <row r="10673" s="96" customFormat="true" ht="13.5"/>
    <row r="10674" s="96" customFormat="true" ht="13.5"/>
    <row r="10675" s="96" customFormat="true" ht="13.5"/>
    <row r="10676" s="96" customFormat="true" ht="13.5"/>
    <row r="10677" s="96" customFormat="true" ht="13.5"/>
    <row r="10678" s="96" customFormat="true" ht="13.5"/>
    <row r="10679" s="96" customFormat="true" ht="13.5"/>
    <row r="10680" s="96" customFormat="true" ht="13.5"/>
    <row r="10681" s="96" customFormat="true" ht="13.5"/>
    <row r="10682" s="96" customFormat="true" ht="13.5"/>
    <row r="10683" s="96" customFormat="true" ht="13.5"/>
    <row r="10684" s="96" customFormat="true" ht="13.5"/>
    <row r="10685" s="96" customFormat="true" ht="13.5"/>
    <row r="10686" s="96" customFormat="true" ht="13.5"/>
    <row r="10687" s="96" customFormat="true" ht="13.5"/>
    <row r="10688" s="96" customFormat="true" ht="13.5"/>
    <row r="10689" s="96" customFormat="true" ht="13.5"/>
    <row r="10690" s="96" customFormat="true" ht="13.5"/>
    <row r="10691" s="96" customFormat="true" ht="13.5"/>
    <row r="10692" s="96" customFormat="true" ht="13.5"/>
    <row r="10693" s="96" customFormat="true" ht="13.5"/>
    <row r="10694" s="96" customFormat="true" ht="13.5"/>
    <row r="10695" s="96" customFormat="true" ht="13.5"/>
    <row r="10696" s="96" customFormat="true" ht="13.5"/>
    <row r="10697" s="96" customFormat="true" ht="13.5"/>
    <row r="10698" s="96" customFormat="true" ht="13.5"/>
    <row r="10699" s="96" customFormat="true" ht="13.5"/>
    <row r="10700" s="96" customFormat="true" ht="13.5"/>
    <row r="10701" s="96" customFormat="true" ht="13.5"/>
    <row r="10702" s="96" customFormat="true" ht="13.5"/>
    <row r="10703" s="96" customFormat="true" ht="13.5"/>
    <row r="10704" s="96" customFormat="true" ht="13.5"/>
    <row r="10705" s="96" customFormat="true" ht="13.5"/>
    <row r="10706" s="96" customFormat="true" ht="13.5"/>
    <row r="10707" s="96" customFormat="true" ht="13.5"/>
    <row r="10708" s="96" customFormat="true" ht="13.5"/>
    <row r="10709" s="96" customFormat="true" ht="13.5"/>
    <row r="10710" s="96" customFormat="true" ht="13.5"/>
    <row r="10711" s="96" customFormat="true" ht="13.5"/>
    <row r="10712" s="96" customFormat="true" ht="13.5"/>
    <row r="10713" s="96" customFormat="true" ht="13.5"/>
    <row r="10714" s="96" customFormat="true" ht="13.5"/>
    <row r="10715" s="96" customFormat="true" ht="13.5"/>
    <row r="10716" s="96" customFormat="true" ht="13.5"/>
    <row r="10717" s="96" customFormat="true" ht="13.5"/>
    <row r="10718" s="96" customFormat="true" ht="13.5"/>
    <row r="10719" s="96" customFormat="true" ht="13.5"/>
    <row r="10720" s="96" customFormat="true" ht="13.5"/>
    <row r="10721" s="96" customFormat="true" ht="13.5"/>
    <row r="10722" s="96" customFormat="true" ht="13.5"/>
    <row r="10723" s="96" customFormat="true" ht="13.5"/>
    <row r="10724" s="96" customFormat="true" ht="13.5"/>
    <row r="10725" s="96" customFormat="true" ht="13.5"/>
    <row r="10726" s="96" customFormat="true" ht="13.5"/>
    <row r="10727" s="96" customFormat="true" ht="13.5"/>
    <row r="10728" s="96" customFormat="true" ht="13.5"/>
    <row r="10729" s="96" customFormat="true" ht="13.5"/>
    <row r="10730" s="96" customFormat="true" ht="13.5"/>
    <row r="10731" s="96" customFormat="true" ht="13.5"/>
    <row r="10732" s="96" customFormat="true" ht="13.5"/>
    <row r="10733" s="96" customFormat="true" ht="13.5"/>
    <row r="10734" s="96" customFormat="true" ht="13.5"/>
    <row r="10735" s="96" customFormat="true" ht="13.5"/>
    <row r="10736" s="96" customFormat="true" ht="13.5"/>
    <row r="10737" s="96" customFormat="true" ht="13.5"/>
    <row r="10738" s="96" customFormat="true" ht="13.5"/>
    <row r="10739" s="96" customFormat="true" ht="13.5"/>
    <row r="10740" s="96" customFormat="true" ht="13.5"/>
    <row r="10741" s="96" customFormat="true" ht="13.5"/>
    <row r="10742" s="96" customFormat="true" ht="13.5"/>
    <row r="10743" s="96" customFormat="true" ht="13.5"/>
    <row r="10744" s="96" customFormat="true" ht="13.5"/>
    <row r="10745" s="96" customFormat="true" ht="13.5"/>
    <row r="10746" s="96" customFormat="true" ht="13.5"/>
    <row r="10747" s="96" customFormat="true" ht="13.5"/>
    <row r="10748" s="96" customFormat="true" ht="13.5"/>
    <row r="10749" s="96" customFormat="true" ht="13.5"/>
    <row r="10750" s="96" customFormat="true" ht="13.5"/>
    <row r="10751" s="96" customFormat="true" ht="13.5"/>
    <row r="10752" s="96" customFormat="true" ht="13.5"/>
    <row r="10753" s="96" customFormat="true" ht="13.5"/>
    <row r="10754" s="96" customFormat="true" ht="13.5"/>
    <row r="10755" s="96" customFormat="true" ht="13.5"/>
    <row r="10756" s="96" customFormat="true" ht="13.5"/>
    <row r="10757" s="96" customFormat="true" ht="13.5"/>
    <row r="10758" s="96" customFormat="true" ht="13.5"/>
    <row r="10759" s="96" customFormat="true" ht="13.5"/>
    <row r="10760" s="96" customFormat="true" ht="13.5"/>
    <row r="10761" s="96" customFormat="true" ht="13.5"/>
    <row r="10762" s="96" customFormat="true" ht="13.5"/>
    <row r="10763" s="96" customFormat="true" ht="13.5"/>
    <row r="10764" s="96" customFormat="true" ht="13.5"/>
    <row r="10765" s="96" customFormat="true" ht="13.5"/>
    <row r="10766" s="96" customFormat="true" ht="13.5"/>
    <row r="10767" s="96" customFormat="true" ht="13.5"/>
    <row r="10768" s="96" customFormat="true" ht="13.5"/>
    <row r="10769" s="96" customFormat="true" ht="13.5"/>
    <row r="10770" s="96" customFormat="true" ht="13.5"/>
    <row r="10771" s="96" customFormat="true" ht="13.5"/>
    <row r="10772" s="96" customFormat="true" ht="13.5"/>
    <row r="10773" s="96" customFormat="true" ht="13.5"/>
    <row r="10774" s="96" customFormat="true" ht="13.5"/>
    <row r="10775" s="96" customFormat="true" ht="13.5"/>
    <row r="10776" s="96" customFormat="true" ht="13.5"/>
    <row r="10777" s="96" customFormat="true" ht="13.5"/>
    <row r="10778" s="96" customFormat="true" ht="13.5"/>
    <row r="10779" s="96" customFormat="true" ht="13.5"/>
    <row r="10780" s="96" customFormat="true" ht="13.5"/>
    <row r="10781" s="96" customFormat="true" ht="13.5"/>
    <row r="10782" s="96" customFormat="true" ht="13.5"/>
    <row r="10783" s="96" customFormat="true" ht="13.5"/>
    <row r="10784" s="96" customFormat="true" ht="13.5"/>
    <row r="10785" s="96" customFormat="true" ht="13.5"/>
    <row r="10786" s="96" customFormat="true" ht="13.5"/>
    <row r="10787" s="96" customFormat="true" ht="13.5"/>
    <row r="10788" s="96" customFormat="true" ht="13.5"/>
    <row r="10789" s="96" customFormat="true" ht="13.5"/>
    <row r="10790" s="96" customFormat="true" ht="13.5"/>
    <row r="10791" s="96" customFormat="true" ht="13.5"/>
    <row r="10792" s="96" customFormat="true" ht="13.5"/>
    <row r="10793" s="96" customFormat="true" ht="13.5"/>
    <row r="10794" s="96" customFormat="true" ht="13.5"/>
    <row r="10795" s="96" customFormat="true" ht="13.5"/>
    <row r="10796" s="96" customFormat="true" ht="13.5"/>
    <row r="10797" s="96" customFormat="true" ht="13.5"/>
    <row r="10798" s="96" customFormat="true" ht="13.5"/>
    <row r="10799" s="96" customFormat="true" ht="13.5"/>
    <row r="10800" s="96" customFormat="true" ht="13.5"/>
    <row r="10801" s="96" customFormat="true" ht="13.5"/>
    <row r="10802" s="96" customFormat="true" ht="13.5"/>
    <row r="10803" s="96" customFormat="true" ht="13.5"/>
    <row r="10804" s="96" customFormat="true" ht="13.5"/>
    <row r="10805" s="96" customFormat="true" ht="13.5"/>
    <row r="10806" s="96" customFormat="true" ht="13.5"/>
    <row r="10807" s="96" customFormat="true" ht="13.5"/>
    <row r="10808" s="96" customFormat="true" ht="13.5"/>
    <row r="10809" s="96" customFormat="true" ht="13.5"/>
    <row r="10810" s="96" customFormat="true" ht="13.5"/>
    <row r="10811" s="96" customFormat="true" ht="13.5"/>
    <row r="10812" s="96" customFormat="true" ht="13.5"/>
    <row r="10813" s="96" customFormat="true" ht="13.5"/>
    <row r="10814" s="96" customFormat="true" ht="13.5"/>
    <row r="10815" s="96" customFormat="true" ht="13.5"/>
    <row r="10816" s="96" customFormat="true" ht="13.5"/>
    <row r="10817" s="96" customFormat="true" ht="13.5"/>
    <row r="10818" s="96" customFormat="true" ht="13.5"/>
    <row r="10819" s="96" customFormat="true" ht="13.5"/>
    <row r="10820" s="96" customFormat="true" ht="13.5"/>
    <row r="10821" s="96" customFormat="true" ht="13.5"/>
    <row r="10822" s="96" customFormat="true" ht="13.5"/>
    <row r="10823" s="96" customFormat="true" ht="13.5"/>
    <row r="10824" s="96" customFormat="true" ht="13.5"/>
    <row r="10825" s="96" customFormat="true" ht="13.5"/>
    <row r="10826" s="96" customFormat="true" ht="13.5"/>
    <row r="10827" s="96" customFormat="true" ht="13.5"/>
    <row r="10828" s="96" customFormat="true" ht="13.5"/>
    <row r="10829" s="96" customFormat="true" ht="13.5"/>
    <row r="10830" s="96" customFormat="true" ht="13.5"/>
    <row r="10831" s="96" customFormat="true" ht="13.5"/>
    <row r="10832" s="96" customFormat="true" ht="13.5"/>
    <row r="10833" s="96" customFormat="true" ht="13.5"/>
    <row r="10834" s="96" customFormat="true" ht="13.5"/>
    <row r="10835" s="96" customFormat="true" ht="13.5"/>
    <row r="10836" s="96" customFormat="true" ht="13.5"/>
    <row r="10837" s="96" customFormat="true" ht="13.5"/>
    <row r="10838" s="96" customFormat="true" ht="13.5"/>
    <row r="10839" s="96" customFormat="true" ht="13.5"/>
    <row r="10840" s="96" customFormat="true" ht="13.5"/>
    <row r="10841" s="96" customFormat="true" ht="13.5"/>
    <row r="10842" s="96" customFormat="true" ht="13.5"/>
    <row r="10843" s="96" customFormat="true" ht="13.5"/>
    <row r="10844" s="96" customFormat="true" ht="13.5"/>
    <row r="10845" s="96" customFormat="true" ht="13.5"/>
    <row r="10846" s="96" customFormat="true" ht="13.5"/>
    <row r="10847" s="96" customFormat="true" ht="13.5"/>
    <row r="10848" s="96" customFormat="true" ht="13.5"/>
    <row r="10849" s="96" customFormat="true" ht="13.5"/>
    <row r="10850" s="96" customFormat="true" ht="13.5"/>
    <row r="10851" s="96" customFormat="true" ht="13.5"/>
    <row r="10852" s="96" customFormat="true" ht="13.5"/>
    <row r="10853" s="96" customFormat="true" ht="13.5"/>
    <row r="10854" s="96" customFormat="true" ht="13.5"/>
    <row r="10855" s="96" customFormat="true" ht="13.5"/>
    <row r="10856" s="96" customFormat="true" ht="13.5"/>
    <row r="10857" s="96" customFormat="true" ht="13.5"/>
    <row r="10858" s="96" customFormat="true" ht="13.5"/>
    <row r="10859" s="96" customFormat="true" ht="13.5"/>
    <row r="10860" s="96" customFormat="true" ht="13.5"/>
    <row r="10861" s="96" customFormat="true" ht="13.5"/>
    <row r="10862" s="96" customFormat="true" ht="13.5"/>
    <row r="10863" s="96" customFormat="true" ht="13.5"/>
    <row r="10864" s="96" customFormat="true" ht="13.5"/>
    <row r="10865" s="96" customFormat="true" ht="13.5"/>
    <row r="10866" s="96" customFormat="true" ht="13.5"/>
    <row r="10867" s="96" customFormat="true" ht="13.5"/>
    <row r="10868" s="96" customFormat="true" ht="13.5"/>
    <row r="10869" s="96" customFormat="true" ht="13.5"/>
    <row r="10870" s="96" customFormat="true" ht="13.5"/>
    <row r="10871" s="96" customFormat="true" ht="13.5"/>
    <row r="10872" s="96" customFormat="true" ht="13.5"/>
    <row r="10873" s="96" customFormat="true" ht="13.5"/>
    <row r="10874" s="96" customFormat="true" ht="13.5"/>
    <row r="10875" s="96" customFormat="true" ht="13.5"/>
    <row r="10876" s="96" customFormat="true" ht="13.5"/>
    <row r="10877" s="96" customFormat="true" ht="13.5"/>
    <row r="10878" s="96" customFormat="true" ht="13.5"/>
    <row r="10879" s="96" customFormat="true" ht="13.5"/>
    <row r="10880" s="96" customFormat="true" ht="13.5"/>
    <row r="10881" s="96" customFormat="true" ht="13.5"/>
    <row r="10882" s="96" customFormat="true" ht="13.5"/>
    <row r="10883" s="96" customFormat="true" ht="13.5"/>
    <row r="10884" s="96" customFormat="true" ht="13.5"/>
    <row r="10885" s="96" customFormat="true" ht="13.5"/>
    <row r="10886" s="96" customFormat="true" ht="13.5"/>
    <row r="10887" s="96" customFormat="true" ht="13.5"/>
    <row r="10888" s="96" customFormat="true" ht="13.5"/>
    <row r="10889" s="96" customFormat="true" ht="13.5"/>
    <row r="10890" s="96" customFormat="true" ht="13.5"/>
    <row r="10891" s="96" customFormat="true" ht="13.5"/>
    <row r="10892" s="96" customFormat="true" ht="13.5"/>
    <row r="10893" s="96" customFormat="true" ht="13.5"/>
    <row r="10894" s="96" customFormat="true" ht="13.5"/>
    <row r="10895" s="96" customFormat="true" ht="13.5"/>
    <row r="10896" s="96" customFormat="true" ht="13.5"/>
    <row r="10897" s="96" customFormat="true" ht="13.5"/>
    <row r="10898" s="96" customFormat="true" ht="13.5"/>
    <row r="10899" s="96" customFormat="true" ht="13.5"/>
    <row r="10900" s="96" customFormat="true" ht="13.5"/>
    <row r="10901" s="96" customFormat="true" ht="13.5"/>
    <row r="10902" s="96" customFormat="true" ht="13.5"/>
    <row r="10903" s="96" customFormat="true" ht="13.5"/>
    <row r="10904" s="96" customFormat="true" ht="13.5"/>
    <row r="10905" s="96" customFormat="true" ht="13.5"/>
    <row r="10906" s="96" customFormat="true" ht="13.5"/>
    <row r="10907" s="96" customFormat="true" ht="13.5"/>
    <row r="10908" s="96" customFormat="true" ht="13.5"/>
    <row r="10909" s="96" customFormat="true" ht="13.5"/>
    <row r="10910" s="96" customFormat="true" ht="13.5"/>
    <row r="10911" s="96" customFormat="true" ht="13.5"/>
    <row r="10912" s="96" customFormat="true" ht="13.5"/>
    <row r="10913" s="96" customFormat="true" ht="13.5"/>
    <row r="10914" s="96" customFormat="true" ht="13.5"/>
    <row r="10915" s="96" customFormat="true" ht="13.5"/>
    <row r="10916" s="96" customFormat="true" ht="13.5"/>
    <row r="10917" s="96" customFormat="true" ht="13.5"/>
    <row r="10918" s="96" customFormat="true" ht="13.5"/>
    <row r="10919" s="96" customFormat="true" ht="13.5"/>
    <row r="10920" s="96" customFormat="true" ht="13.5"/>
    <row r="10921" s="96" customFormat="true" ht="13.5"/>
    <row r="10922" s="96" customFormat="true" ht="13.5"/>
    <row r="10923" s="96" customFormat="true" ht="13.5"/>
    <row r="10924" s="96" customFormat="true" ht="13.5"/>
    <row r="10925" s="96" customFormat="true" ht="13.5"/>
    <row r="10926" s="96" customFormat="true" ht="13.5"/>
    <row r="10927" s="96" customFormat="true" ht="13.5"/>
    <row r="10928" s="96" customFormat="true" ht="13.5"/>
    <row r="10929" s="96" customFormat="true" ht="13.5"/>
    <row r="10930" s="96" customFormat="true" ht="13.5"/>
    <row r="10931" s="96" customFormat="true" ht="13.5"/>
    <row r="10932" s="96" customFormat="true" ht="13.5"/>
    <row r="10933" s="96" customFormat="true" ht="13.5"/>
    <row r="10934" s="96" customFormat="true" ht="13.5"/>
    <row r="10935" s="96" customFormat="true" ht="13.5"/>
    <row r="10936" s="96" customFormat="true" ht="13.5"/>
    <row r="10937" s="96" customFormat="true" ht="13.5"/>
    <row r="10938" s="96" customFormat="true" ht="13.5"/>
    <row r="10939" s="96" customFormat="true" ht="13.5"/>
    <row r="10940" s="96" customFormat="true" ht="13.5"/>
    <row r="10941" s="96" customFormat="true" ht="13.5"/>
    <row r="10942" s="96" customFormat="true" ht="13.5"/>
    <row r="10943" s="96" customFormat="true" ht="13.5"/>
    <row r="10944" s="96" customFormat="true" ht="13.5"/>
    <row r="10945" s="96" customFormat="true" ht="13.5"/>
    <row r="10946" s="96" customFormat="true" ht="13.5"/>
    <row r="10947" s="96" customFormat="true" ht="13.5"/>
    <row r="10948" s="96" customFormat="true" ht="13.5"/>
    <row r="10949" s="96" customFormat="true" ht="13.5"/>
    <row r="10950" s="96" customFormat="true" ht="13.5"/>
    <row r="10951" s="96" customFormat="true" ht="13.5"/>
    <row r="10952" s="96" customFormat="true" ht="13.5"/>
    <row r="10953" s="96" customFormat="true" ht="13.5"/>
    <row r="10954" s="96" customFormat="true" ht="13.5"/>
    <row r="10955" s="96" customFormat="true" ht="13.5"/>
    <row r="10956" s="96" customFormat="true" ht="13.5"/>
    <row r="10957" s="96" customFormat="true" ht="13.5"/>
    <row r="10958" s="96" customFormat="true" ht="13.5"/>
    <row r="10959" s="96" customFormat="true" ht="13.5"/>
    <row r="10960" s="96" customFormat="true" ht="13.5"/>
    <row r="10961" s="96" customFormat="true" ht="13.5"/>
    <row r="10962" s="96" customFormat="true" ht="13.5"/>
    <row r="10963" s="96" customFormat="true" ht="13.5"/>
    <row r="10964" s="96" customFormat="true" ht="13.5"/>
    <row r="10965" s="96" customFormat="true" ht="13.5"/>
    <row r="10966" s="96" customFormat="true" ht="13.5"/>
    <row r="10967" s="96" customFormat="true" ht="13.5"/>
    <row r="10968" s="96" customFormat="true" ht="13.5"/>
    <row r="10969" s="96" customFormat="true" ht="13.5"/>
    <row r="10970" s="96" customFormat="true" ht="13.5"/>
    <row r="10971" s="96" customFormat="true" ht="13.5"/>
    <row r="10972" s="96" customFormat="true" ht="13.5"/>
    <row r="10973" s="96" customFormat="true" ht="13.5"/>
    <row r="10974" s="96" customFormat="true" ht="13.5"/>
    <row r="10975" s="96" customFormat="true" ht="13.5"/>
    <row r="10976" s="96" customFormat="true" ht="13.5"/>
    <row r="10977" s="96" customFormat="true" ht="13.5"/>
    <row r="10978" s="96" customFormat="true" ht="13.5"/>
    <row r="10979" s="96" customFormat="true" ht="13.5"/>
    <row r="10980" s="96" customFormat="true" ht="13.5"/>
    <row r="10981" s="96" customFormat="true" ht="13.5"/>
    <row r="10982" s="96" customFormat="true" ht="13.5"/>
    <row r="10983" s="96" customFormat="true" ht="13.5"/>
    <row r="10984" s="96" customFormat="true" ht="13.5"/>
    <row r="10985" s="96" customFormat="true" ht="13.5"/>
    <row r="10986" s="96" customFormat="true" ht="13.5"/>
    <row r="10987" s="96" customFormat="true" ht="13.5"/>
    <row r="10988" s="96" customFormat="true" ht="13.5"/>
    <row r="10989" s="96" customFormat="true" ht="13.5"/>
    <row r="10990" s="96" customFormat="true" ht="13.5"/>
    <row r="10991" s="96" customFormat="true" ht="13.5"/>
    <row r="10992" s="96" customFormat="true" ht="13.5"/>
    <row r="10993" s="96" customFormat="true" ht="13.5"/>
    <row r="10994" s="96" customFormat="true" ht="13.5"/>
    <row r="10995" s="96" customFormat="true" ht="13.5"/>
    <row r="10996" s="96" customFormat="true" ht="13.5"/>
    <row r="10997" s="96" customFormat="true" ht="13.5"/>
    <row r="10998" s="96" customFormat="true" ht="13.5"/>
    <row r="10999" s="96" customFormat="true" ht="13.5"/>
    <row r="11000" s="96" customFormat="true" ht="13.5"/>
    <row r="11001" s="96" customFormat="true" ht="13.5"/>
    <row r="11002" s="96" customFormat="true" ht="13.5"/>
    <row r="11003" s="96" customFormat="true" ht="13.5"/>
    <row r="11004" s="96" customFormat="true" ht="13.5"/>
    <row r="11005" s="96" customFormat="true" ht="13.5"/>
    <row r="11006" s="96" customFormat="true" ht="13.5"/>
    <row r="11007" s="96" customFormat="true" ht="13.5"/>
    <row r="11008" s="96" customFormat="true" ht="13.5"/>
    <row r="11009" s="96" customFormat="true" ht="13.5"/>
    <row r="11010" s="96" customFormat="true" ht="13.5"/>
    <row r="11011" s="96" customFormat="true" ht="13.5"/>
    <row r="11012" s="96" customFormat="true" ht="13.5"/>
    <row r="11013" s="96" customFormat="true" ht="13.5"/>
    <row r="11014" s="96" customFormat="true" ht="13.5"/>
    <row r="11015" s="96" customFormat="true" ht="13.5"/>
    <row r="11016" s="96" customFormat="true" ht="13.5"/>
    <row r="11017" s="96" customFormat="true" ht="13.5"/>
    <row r="11018" s="96" customFormat="true" ht="13.5"/>
    <row r="11019" s="96" customFormat="true" ht="13.5"/>
    <row r="11020" s="96" customFormat="true" ht="13.5"/>
    <row r="11021" s="96" customFormat="true" ht="13.5"/>
    <row r="11022" s="96" customFormat="true" ht="13.5"/>
    <row r="11023" s="96" customFormat="true" ht="13.5"/>
    <row r="11024" s="96" customFormat="true" ht="13.5"/>
    <row r="11025" s="96" customFormat="true" ht="13.5"/>
    <row r="11026" s="96" customFormat="true" ht="13.5"/>
    <row r="11027" s="96" customFormat="true" ht="13.5"/>
    <row r="11028" s="96" customFormat="true" ht="13.5"/>
    <row r="11029" s="96" customFormat="true" ht="13.5"/>
    <row r="11030" s="96" customFormat="true" ht="13.5"/>
    <row r="11031" s="96" customFormat="true" ht="13.5"/>
    <row r="11032" s="96" customFormat="true" ht="13.5"/>
    <row r="11033" s="96" customFormat="true" ht="13.5"/>
    <row r="11034" s="96" customFormat="true" ht="13.5"/>
    <row r="11035" s="96" customFormat="true" ht="13.5"/>
    <row r="11036" s="96" customFormat="true" ht="13.5"/>
    <row r="11037" s="96" customFormat="true" ht="13.5"/>
    <row r="11038" s="96" customFormat="true" ht="13.5"/>
    <row r="11039" s="96" customFormat="true" ht="13.5"/>
    <row r="11040" s="96" customFormat="true" ht="13.5"/>
    <row r="11041" s="96" customFormat="true" ht="13.5"/>
    <row r="11042" s="96" customFormat="true" ht="13.5"/>
    <row r="11043" s="96" customFormat="true" ht="13.5"/>
    <row r="11044" s="96" customFormat="true" ht="13.5"/>
    <row r="11045" s="96" customFormat="true" ht="13.5"/>
    <row r="11046" s="96" customFormat="true" ht="13.5"/>
    <row r="11047" s="96" customFormat="true" ht="13.5"/>
    <row r="11048" s="96" customFormat="true" ht="13.5"/>
    <row r="11049" s="96" customFormat="true" ht="13.5"/>
    <row r="11050" s="96" customFormat="true" ht="13.5"/>
    <row r="11051" s="96" customFormat="true" ht="13.5"/>
    <row r="11052" s="96" customFormat="true" ht="13.5"/>
    <row r="11053" s="96" customFormat="true" ht="13.5"/>
    <row r="11054" s="96" customFormat="true" ht="13.5"/>
    <row r="11055" s="96" customFormat="true" ht="13.5"/>
    <row r="11056" s="96" customFormat="true" ht="13.5"/>
    <row r="11057" s="96" customFormat="true" ht="13.5"/>
    <row r="11058" s="96" customFormat="true" ht="13.5"/>
    <row r="11059" s="96" customFormat="true" ht="13.5"/>
    <row r="11060" s="96" customFormat="true" ht="13.5"/>
    <row r="11061" s="96" customFormat="true" ht="13.5"/>
    <row r="11062" s="96" customFormat="true" ht="13.5"/>
    <row r="11063" s="96" customFormat="true" ht="13.5"/>
    <row r="11064" s="96" customFormat="true" ht="13.5"/>
    <row r="11065" s="96" customFormat="true" ht="13.5"/>
    <row r="11066" s="96" customFormat="true" ht="13.5"/>
    <row r="11067" s="96" customFormat="true" ht="13.5"/>
    <row r="11068" s="96" customFormat="true" ht="13.5"/>
    <row r="11069" s="96" customFormat="true" ht="13.5"/>
    <row r="11070" s="96" customFormat="true" ht="13.5"/>
    <row r="11071" s="96" customFormat="true" ht="13.5"/>
    <row r="11072" s="96" customFormat="true" ht="13.5"/>
    <row r="11073" s="96" customFormat="true" ht="13.5"/>
    <row r="11074" s="96" customFormat="true" ht="13.5"/>
    <row r="11075" s="96" customFormat="true" ht="13.5"/>
    <row r="11076" s="96" customFormat="true" ht="13.5"/>
    <row r="11077" s="96" customFormat="true" ht="13.5"/>
    <row r="11078" s="96" customFormat="true" ht="13.5"/>
    <row r="11079" s="96" customFormat="true" ht="13.5"/>
    <row r="11080" s="96" customFormat="true" ht="13.5"/>
    <row r="11081" s="96" customFormat="true" ht="13.5"/>
    <row r="11082" s="96" customFormat="true" ht="13.5"/>
    <row r="11083" s="96" customFormat="true" ht="13.5"/>
    <row r="11084" s="96" customFormat="true" ht="13.5"/>
    <row r="11085" s="96" customFormat="true" ht="13.5"/>
    <row r="11086" s="96" customFormat="true" ht="13.5"/>
    <row r="11087" s="96" customFormat="true" ht="13.5"/>
    <row r="11088" s="96" customFormat="true" ht="13.5"/>
    <row r="11089" s="96" customFormat="true" ht="13.5"/>
    <row r="11090" s="96" customFormat="true" ht="13.5"/>
    <row r="11091" s="96" customFormat="true" ht="13.5"/>
    <row r="11092" s="96" customFormat="true" ht="13.5"/>
    <row r="11093" s="96" customFormat="true" ht="13.5"/>
    <row r="11094" s="96" customFormat="true" ht="13.5"/>
    <row r="11095" s="96" customFormat="true" ht="13.5"/>
    <row r="11096" s="96" customFormat="true" ht="13.5"/>
    <row r="11097" s="96" customFormat="true" ht="13.5"/>
    <row r="11098" s="96" customFormat="true" ht="13.5"/>
    <row r="11099" s="96" customFormat="true" ht="13.5"/>
    <row r="11100" s="96" customFormat="true" ht="13.5"/>
    <row r="11101" s="96" customFormat="true" ht="13.5"/>
    <row r="11102" s="96" customFormat="true" ht="13.5"/>
    <row r="11103" s="96" customFormat="true" ht="13.5"/>
    <row r="11104" s="96" customFormat="true" ht="13.5"/>
    <row r="11105" s="96" customFormat="true" ht="13.5"/>
    <row r="11106" s="96" customFormat="true" ht="13.5"/>
    <row r="11107" s="96" customFormat="true" ht="13.5"/>
    <row r="11108" s="96" customFormat="true" ht="13.5"/>
    <row r="11109" s="96" customFormat="true" ht="13.5"/>
    <row r="11110" s="96" customFormat="true" ht="13.5"/>
    <row r="11111" s="96" customFormat="true" ht="13.5"/>
    <row r="11112" s="96" customFormat="true" ht="13.5"/>
    <row r="11113" s="96" customFormat="true" ht="13.5"/>
    <row r="11114" s="96" customFormat="true" ht="13.5"/>
    <row r="11115" s="96" customFormat="true" ht="13.5"/>
    <row r="11116" s="96" customFormat="true" ht="13.5"/>
    <row r="11117" s="96" customFormat="true" ht="13.5"/>
    <row r="11118" s="96" customFormat="true" ht="13.5"/>
    <row r="11119" s="96" customFormat="true" ht="13.5"/>
    <row r="11120" s="96" customFormat="true" ht="13.5"/>
    <row r="11121" s="96" customFormat="true" ht="13.5"/>
    <row r="11122" s="96" customFormat="true" ht="13.5"/>
    <row r="11123" s="96" customFormat="true" ht="13.5"/>
    <row r="11124" s="96" customFormat="true" ht="13.5"/>
    <row r="11125" s="96" customFormat="true" ht="13.5"/>
    <row r="11126" s="96" customFormat="true" ht="13.5"/>
    <row r="11127" s="96" customFormat="true" ht="13.5"/>
    <row r="11128" s="96" customFormat="true" ht="13.5"/>
    <row r="11129" s="96" customFormat="true" ht="13.5"/>
    <row r="11130" s="96" customFormat="true" ht="13.5"/>
    <row r="11131" s="96" customFormat="true" ht="13.5"/>
    <row r="11132" s="96" customFormat="true" ht="13.5"/>
    <row r="11133" s="96" customFormat="true" ht="13.5"/>
    <row r="11134" s="96" customFormat="true" ht="13.5"/>
    <row r="11135" s="96" customFormat="true" ht="13.5"/>
    <row r="11136" s="96" customFormat="true" ht="13.5"/>
    <row r="11137" s="96" customFormat="true" ht="13.5"/>
    <row r="11138" s="96" customFormat="true" ht="13.5"/>
    <row r="11139" s="96" customFormat="true" ht="13.5"/>
    <row r="11140" s="96" customFormat="true" ht="13.5"/>
    <row r="11141" s="96" customFormat="true" ht="13.5"/>
    <row r="11142" s="96" customFormat="true" ht="13.5"/>
    <row r="11143" s="96" customFormat="true" ht="13.5"/>
    <row r="11144" s="96" customFormat="true" ht="13.5"/>
    <row r="11145" s="96" customFormat="true" ht="13.5"/>
    <row r="11146" s="96" customFormat="true" ht="13.5"/>
    <row r="11147" s="96" customFormat="true" ht="13.5"/>
    <row r="11148" s="96" customFormat="true" ht="13.5"/>
    <row r="11149" s="96" customFormat="true" ht="13.5"/>
    <row r="11150" s="96" customFormat="true" ht="13.5"/>
    <row r="11151" s="96" customFormat="true" ht="13.5"/>
    <row r="11152" s="96" customFormat="true" ht="13.5"/>
    <row r="11153" s="96" customFormat="true" ht="13.5"/>
    <row r="11154" s="96" customFormat="true" ht="13.5"/>
    <row r="11155" s="96" customFormat="true" ht="13.5"/>
    <row r="11156" s="96" customFormat="true" ht="13.5"/>
    <row r="11157" s="96" customFormat="true" ht="13.5"/>
    <row r="11158" s="96" customFormat="true" ht="13.5"/>
    <row r="11159" s="96" customFormat="true" ht="13.5"/>
    <row r="11160" s="96" customFormat="true" ht="13.5"/>
    <row r="11161" s="96" customFormat="true" ht="13.5"/>
    <row r="11162" s="96" customFormat="true" ht="13.5"/>
    <row r="11163" s="96" customFormat="true" ht="13.5"/>
    <row r="11164" s="96" customFormat="true" ht="13.5"/>
    <row r="11165" s="96" customFormat="true" ht="13.5"/>
    <row r="11166" s="96" customFormat="true" ht="13.5"/>
    <row r="11167" s="96" customFormat="true" ht="13.5"/>
    <row r="11168" s="96" customFormat="true" ht="13.5"/>
    <row r="11169" s="96" customFormat="true" ht="13.5"/>
    <row r="11170" s="96" customFormat="true" ht="13.5"/>
    <row r="11171" s="96" customFormat="true" ht="13.5"/>
    <row r="11172" s="96" customFormat="true" ht="13.5"/>
    <row r="11173" s="96" customFormat="true" ht="13.5"/>
    <row r="11174" s="96" customFormat="true" ht="13.5"/>
    <row r="11175" s="96" customFormat="true" ht="13.5"/>
    <row r="11176" s="96" customFormat="true" ht="13.5"/>
    <row r="11177" s="96" customFormat="true" ht="13.5"/>
    <row r="11178" s="96" customFormat="true" ht="13.5"/>
    <row r="11179" s="96" customFormat="true" ht="13.5"/>
    <row r="11180" s="96" customFormat="true" ht="13.5"/>
    <row r="11181" s="96" customFormat="true" ht="13.5"/>
    <row r="11182" s="96" customFormat="true" ht="13.5"/>
    <row r="11183" s="96" customFormat="true" ht="13.5"/>
    <row r="11184" s="96" customFormat="true" ht="13.5"/>
    <row r="11185" s="96" customFormat="true" ht="13.5"/>
    <row r="11186" s="96" customFormat="true" ht="13.5"/>
    <row r="11187" s="96" customFormat="true" ht="13.5"/>
    <row r="11188" s="96" customFormat="true" ht="13.5"/>
    <row r="11189" s="96" customFormat="true" ht="13.5"/>
    <row r="11190" s="96" customFormat="true" ht="13.5"/>
    <row r="11191" s="96" customFormat="true" ht="13.5"/>
    <row r="11192" s="96" customFormat="true" ht="13.5"/>
    <row r="11193" s="96" customFormat="true" ht="13.5"/>
    <row r="11194" s="96" customFormat="true" ht="13.5"/>
    <row r="11195" s="96" customFormat="true" ht="13.5"/>
    <row r="11196" s="96" customFormat="true" ht="13.5"/>
    <row r="11197" s="96" customFormat="true" ht="13.5"/>
    <row r="11198" s="96" customFormat="true" ht="13.5"/>
    <row r="11199" s="96" customFormat="true" ht="13.5"/>
    <row r="11200" s="96" customFormat="true" ht="13.5"/>
    <row r="11201" s="96" customFormat="true" ht="13.5"/>
    <row r="11202" s="96" customFormat="true" ht="13.5"/>
    <row r="11203" s="96" customFormat="true" ht="13.5"/>
    <row r="11204" s="96" customFormat="true" ht="13.5"/>
    <row r="11205" s="96" customFormat="true" ht="13.5"/>
    <row r="11206" s="96" customFormat="true" ht="13.5"/>
    <row r="11207" s="96" customFormat="true" ht="13.5"/>
    <row r="11208" s="96" customFormat="true" ht="13.5"/>
    <row r="11209" s="96" customFormat="true" ht="13.5"/>
    <row r="11210" s="96" customFormat="true" ht="13.5"/>
    <row r="11211" s="96" customFormat="true" ht="13.5"/>
    <row r="11212" s="96" customFormat="true" ht="13.5"/>
    <row r="11213" s="96" customFormat="true" ht="13.5"/>
    <row r="11214" s="96" customFormat="true" ht="13.5"/>
    <row r="11215" s="96" customFormat="true" ht="13.5"/>
    <row r="11216" s="96" customFormat="true" ht="13.5"/>
    <row r="11217" s="96" customFormat="true" ht="13.5"/>
    <row r="11218" s="96" customFormat="true" ht="13.5"/>
    <row r="11219" s="96" customFormat="true" ht="13.5"/>
    <row r="11220" s="96" customFormat="true" ht="13.5"/>
    <row r="11221" s="96" customFormat="true" ht="13.5"/>
    <row r="11222" s="96" customFormat="true" ht="13.5"/>
    <row r="11223" s="96" customFormat="true" ht="13.5"/>
    <row r="11224" s="96" customFormat="true" ht="13.5"/>
    <row r="11225" s="96" customFormat="true" ht="13.5"/>
    <row r="11226" s="96" customFormat="true" ht="13.5"/>
    <row r="11227" s="96" customFormat="true" ht="13.5"/>
    <row r="11228" s="96" customFormat="true" ht="13.5"/>
    <row r="11229" s="96" customFormat="true" ht="13.5"/>
    <row r="11230" s="96" customFormat="true" ht="13.5"/>
    <row r="11231" s="96" customFormat="true" ht="13.5"/>
    <row r="11232" s="96" customFormat="true" ht="13.5"/>
    <row r="11233" s="96" customFormat="true" ht="13.5"/>
    <row r="11234" s="96" customFormat="true" ht="13.5"/>
    <row r="11235" s="96" customFormat="true" ht="13.5"/>
    <row r="11236" s="96" customFormat="true" ht="13.5"/>
    <row r="11237" s="96" customFormat="true" ht="13.5"/>
    <row r="11238" s="96" customFormat="true" ht="13.5"/>
    <row r="11239" s="96" customFormat="true" ht="13.5"/>
    <row r="11240" s="96" customFormat="true" ht="13.5"/>
    <row r="11241" s="96" customFormat="true" ht="13.5"/>
    <row r="11242" s="96" customFormat="true" ht="13.5"/>
    <row r="11243" s="96" customFormat="true" ht="13.5"/>
    <row r="11244" s="96" customFormat="true" ht="13.5"/>
    <row r="11245" s="96" customFormat="true" ht="13.5"/>
    <row r="11246" s="96" customFormat="true" ht="13.5"/>
    <row r="11247" s="96" customFormat="true" ht="13.5"/>
    <row r="11248" s="96" customFormat="true" ht="13.5"/>
    <row r="11249" s="96" customFormat="true" ht="13.5"/>
    <row r="11250" s="96" customFormat="true" ht="13.5"/>
    <row r="11251" s="96" customFormat="true" ht="13.5"/>
    <row r="11252" s="96" customFormat="true" ht="13.5"/>
    <row r="11253" s="96" customFormat="true" ht="13.5"/>
    <row r="11254" s="96" customFormat="true" ht="13.5"/>
    <row r="11255" s="96" customFormat="true" ht="13.5"/>
    <row r="11256" s="96" customFormat="true" ht="13.5"/>
    <row r="11257" s="96" customFormat="true" ht="13.5"/>
    <row r="11258" s="96" customFormat="true" ht="13.5"/>
    <row r="11259" s="96" customFormat="true" ht="13.5"/>
    <row r="11260" s="96" customFormat="true" ht="13.5"/>
    <row r="11261" s="96" customFormat="true" ht="13.5"/>
    <row r="11262" s="96" customFormat="true" ht="13.5"/>
    <row r="11263" s="96" customFormat="true" ht="13.5"/>
    <row r="11264" s="96" customFormat="true" ht="13.5"/>
    <row r="11265" s="96" customFormat="true" ht="13.5"/>
    <row r="11266" s="96" customFormat="true" ht="13.5"/>
    <row r="11267" s="96" customFormat="true" ht="13.5"/>
    <row r="11268" s="96" customFormat="true" ht="13.5"/>
    <row r="11269" s="96" customFormat="true" ht="13.5"/>
    <row r="11270" s="96" customFormat="true" ht="13.5"/>
    <row r="11271" s="96" customFormat="true" ht="13.5"/>
    <row r="11272" s="96" customFormat="true" ht="13.5"/>
    <row r="11273" s="96" customFormat="true" ht="13.5"/>
    <row r="11274" s="96" customFormat="true" ht="13.5"/>
    <row r="11275" s="96" customFormat="true" ht="13.5"/>
    <row r="11276" s="96" customFormat="true" ht="13.5"/>
    <row r="11277" s="96" customFormat="true" ht="13.5"/>
    <row r="11278" s="96" customFormat="true" ht="13.5"/>
    <row r="11279" s="96" customFormat="true" ht="13.5"/>
    <row r="11280" s="96" customFormat="true" ht="13.5"/>
    <row r="11281" s="96" customFormat="true" ht="13.5"/>
    <row r="11282" s="96" customFormat="true" ht="13.5"/>
    <row r="11283" s="96" customFormat="true" ht="13.5"/>
    <row r="11284" s="96" customFormat="true" ht="13.5"/>
    <row r="11285" s="96" customFormat="true" ht="13.5"/>
    <row r="11286" s="96" customFormat="true" ht="13.5"/>
    <row r="11287" s="96" customFormat="true" ht="13.5"/>
    <row r="11288" s="96" customFormat="true" ht="13.5"/>
    <row r="11289" s="96" customFormat="true" ht="13.5"/>
    <row r="11290" s="96" customFormat="true" ht="13.5"/>
    <row r="11291" s="96" customFormat="true" ht="13.5"/>
    <row r="11292" s="96" customFormat="true" ht="13.5"/>
    <row r="11293" s="96" customFormat="true" ht="13.5"/>
    <row r="11294" s="96" customFormat="true" ht="13.5"/>
    <row r="11295" s="96" customFormat="true" ht="13.5"/>
    <row r="11296" s="96" customFormat="true" ht="13.5"/>
    <row r="11297" s="96" customFormat="true" ht="13.5"/>
    <row r="11298" s="96" customFormat="true" ht="13.5"/>
    <row r="11299" s="96" customFormat="true" ht="13.5"/>
    <row r="11300" s="96" customFormat="true" ht="13.5"/>
    <row r="11301" s="96" customFormat="true" ht="13.5"/>
    <row r="11302" s="96" customFormat="true" ht="13.5"/>
    <row r="11303" s="96" customFormat="true" ht="13.5"/>
    <row r="11304" s="96" customFormat="true" ht="13.5"/>
    <row r="11305" s="96" customFormat="true" ht="13.5"/>
    <row r="11306" s="96" customFormat="true" ht="13.5"/>
    <row r="11307" s="96" customFormat="true" ht="13.5"/>
    <row r="11308" s="96" customFormat="true" ht="13.5"/>
    <row r="11309" s="96" customFormat="true" ht="13.5"/>
    <row r="11310" s="96" customFormat="true" ht="13.5"/>
    <row r="11311" s="96" customFormat="true" ht="13.5"/>
    <row r="11312" s="96" customFormat="true" ht="13.5"/>
    <row r="11313" s="96" customFormat="true" ht="13.5"/>
    <row r="11314" s="96" customFormat="true" ht="13.5"/>
    <row r="11315" s="96" customFormat="true" ht="13.5"/>
    <row r="11316" s="96" customFormat="true" ht="13.5"/>
    <row r="11317" s="96" customFormat="true" ht="13.5"/>
    <row r="11318" s="96" customFormat="true" ht="13.5"/>
    <row r="11319" s="96" customFormat="true" ht="13.5"/>
    <row r="11320" s="96" customFormat="true" ht="13.5"/>
    <row r="11321" s="96" customFormat="true" ht="13.5"/>
    <row r="11322" s="96" customFormat="true" ht="13.5"/>
    <row r="11323" s="96" customFormat="true" ht="13.5"/>
    <row r="11324" s="96" customFormat="true" ht="13.5"/>
    <row r="11325" s="96" customFormat="true" ht="13.5"/>
    <row r="11326" s="96" customFormat="true" ht="13.5"/>
    <row r="11327" s="96" customFormat="true" ht="13.5"/>
    <row r="11328" s="96" customFormat="true" ht="13.5"/>
    <row r="11329" s="96" customFormat="true" ht="13.5"/>
    <row r="11330" s="96" customFormat="true" ht="13.5"/>
    <row r="11331" s="96" customFormat="true" ht="13.5"/>
    <row r="11332" s="96" customFormat="true" ht="13.5"/>
    <row r="11333" s="96" customFormat="true" ht="13.5"/>
    <row r="11334" s="96" customFormat="true" ht="13.5"/>
    <row r="11335" s="96" customFormat="true" ht="13.5"/>
    <row r="11336" s="96" customFormat="true" ht="13.5"/>
    <row r="11337" s="96" customFormat="true" ht="13.5"/>
    <row r="11338" s="96" customFormat="true" ht="13.5"/>
    <row r="11339" s="96" customFormat="true" ht="13.5"/>
    <row r="11340" s="96" customFormat="true" ht="13.5"/>
    <row r="11341" s="96" customFormat="true" ht="13.5"/>
    <row r="11342" s="96" customFormat="true" ht="13.5"/>
    <row r="11343" s="96" customFormat="true" ht="13.5"/>
    <row r="11344" s="96" customFormat="true" ht="13.5"/>
    <row r="11345" s="96" customFormat="true" ht="13.5"/>
    <row r="11346" s="96" customFormat="true" ht="13.5"/>
    <row r="11347" s="96" customFormat="true" ht="13.5"/>
    <row r="11348" s="96" customFormat="true" ht="13.5"/>
    <row r="11349" s="96" customFormat="true" ht="13.5"/>
    <row r="11350" s="96" customFormat="true" ht="13.5"/>
    <row r="11351" s="96" customFormat="true" ht="13.5"/>
    <row r="11352" s="96" customFormat="true" ht="13.5"/>
    <row r="11353" s="96" customFormat="true" ht="13.5"/>
    <row r="11354" s="96" customFormat="true" ht="13.5"/>
    <row r="11355" s="96" customFormat="true" ht="13.5"/>
    <row r="11356" s="96" customFormat="true" ht="13.5"/>
    <row r="11357" s="96" customFormat="true" ht="13.5"/>
    <row r="11358" s="96" customFormat="true" ht="13.5"/>
    <row r="11359" s="96" customFormat="true" ht="13.5"/>
    <row r="11360" s="96" customFormat="true" ht="13.5"/>
    <row r="11361" s="96" customFormat="true" ht="13.5"/>
    <row r="11362" s="96" customFormat="true" ht="13.5"/>
    <row r="11363" s="96" customFormat="true" ht="13.5"/>
    <row r="11364" s="96" customFormat="true" ht="13.5"/>
    <row r="11365" s="96" customFormat="true" ht="13.5"/>
    <row r="11366" s="96" customFormat="true" ht="13.5"/>
    <row r="11367" s="96" customFormat="true" ht="13.5"/>
    <row r="11368" s="96" customFormat="true" ht="13.5"/>
    <row r="11369" s="96" customFormat="true" ht="13.5"/>
    <row r="11370" s="96" customFormat="true" ht="13.5"/>
    <row r="11371" s="96" customFormat="true" ht="13.5"/>
    <row r="11372" s="96" customFormat="true" ht="13.5"/>
    <row r="11373" s="96" customFormat="true" ht="13.5"/>
    <row r="11374" s="96" customFormat="true" ht="13.5"/>
    <row r="11375" s="96" customFormat="true" ht="13.5"/>
    <row r="11376" s="96" customFormat="true" ht="13.5"/>
    <row r="11377" s="96" customFormat="true" ht="13.5"/>
    <row r="11378" s="96" customFormat="true" ht="13.5"/>
    <row r="11379" s="96" customFormat="true" ht="13.5"/>
    <row r="11380" s="96" customFormat="true" ht="13.5"/>
    <row r="11381" s="96" customFormat="true" ht="13.5"/>
    <row r="11382" s="96" customFormat="true" ht="13.5"/>
    <row r="11383" s="96" customFormat="true" ht="13.5"/>
    <row r="11384" s="96" customFormat="true" ht="13.5"/>
    <row r="11385" s="96" customFormat="true" ht="13.5"/>
    <row r="11386" s="96" customFormat="true" ht="13.5"/>
    <row r="11387" s="96" customFormat="true" ht="13.5"/>
    <row r="11388" s="96" customFormat="true" ht="13.5"/>
    <row r="11389" s="96" customFormat="true" ht="13.5"/>
    <row r="11390" s="96" customFormat="true" ht="13.5"/>
    <row r="11391" s="96" customFormat="true" ht="13.5"/>
    <row r="11392" s="96" customFormat="true" ht="13.5"/>
    <row r="11393" s="96" customFormat="true" ht="13.5"/>
    <row r="11394" s="96" customFormat="true" ht="13.5"/>
    <row r="11395" s="96" customFormat="true" ht="13.5"/>
    <row r="11396" s="96" customFormat="true" ht="13.5"/>
    <row r="11397" s="96" customFormat="true" ht="13.5"/>
    <row r="11398" s="96" customFormat="true" ht="13.5"/>
    <row r="11399" s="96" customFormat="true" ht="13.5"/>
    <row r="11400" s="96" customFormat="true" ht="13.5"/>
    <row r="11401" s="96" customFormat="true" ht="13.5"/>
    <row r="11402" s="96" customFormat="true" ht="13.5"/>
    <row r="11403" s="96" customFormat="true" ht="13.5"/>
    <row r="11404" s="96" customFormat="true" ht="13.5"/>
    <row r="11405" s="96" customFormat="true" ht="13.5"/>
    <row r="11406" s="96" customFormat="true" ht="13.5"/>
    <row r="11407" s="96" customFormat="true" ht="13.5"/>
    <row r="11408" s="96" customFormat="true" ht="13.5"/>
    <row r="11409" s="96" customFormat="true" ht="13.5"/>
    <row r="11410" s="96" customFormat="true" ht="13.5"/>
    <row r="11411" s="96" customFormat="true" ht="13.5"/>
    <row r="11412" s="96" customFormat="true" ht="13.5"/>
    <row r="11413" s="96" customFormat="true" ht="13.5"/>
    <row r="11414" s="96" customFormat="true" ht="13.5"/>
    <row r="11415" s="96" customFormat="true" ht="13.5"/>
    <row r="11416" s="96" customFormat="true" ht="13.5"/>
    <row r="11417" s="96" customFormat="true" ht="13.5"/>
    <row r="11418" s="96" customFormat="true" ht="13.5"/>
    <row r="11419" s="96" customFormat="true" ht="13.5"/>
    <row r="11420" s="96" customFormat="true" ht="13.5"/>
    <row r="11421" s="96" customFormat="true" ht="13.5"/>
    <row r="11422" s="96" customFormat="true" ht="13.5"/>
    <row r="11423" s="96" customFormat="true" ht="13.5"/>
    <row r="11424" s="96" customFormat="true" ht="13.5"/>
    <row r="11425" s="96" customFormat="true" ht="13.5"/>
    <row r="11426" s="96" customFormat="true" ht="13.5"/>
    <row r="11427" s="96" customFormat="true" ht="13.5"/>
    <row r="11428" s="96" customFormat="true" ht="13.5"/>
    <row r="11429" s="96" customFormat="true" ht="13.5"/>
    <row r="11430" s="96" customFormat="true" ht="13.5"/>
    <row r="11431" s="96" customFormat="true" ht="13.5"/>
    <row r="11432" s="96" customFormat="true" ht="13.5"/>
    <row r="11433" s="96" customFormat="true" ht="13.5"/>
    <row r="11434" s="96" customFormat="true" ht="13.5"/>
    <row r="11435" s="96" customFormat="true" ht="13.5"/>
    <row r="11436" s="96" customFormat="true" ht="13.5"/>
    <row r="11437" s="96" customFormat="true" ht="13.5"/>
    <row r="11438" s="96" customFormat="true" ht="13.5"/>
    <row r="11439" s="96" customFormat="true" ht="13.5"/>
    <row r="11440" s="96" customFormat="true" ht="13.5"/>
    <row r="11441" s="96" customFormat="true" ht="13.5"/>
    <row r="11442" s="96" customFormat="true" ht="13.5"/>
    <row r="11443" s="96" customFormat="true" ht="13.5"/>
    <row r="11444" s="96" customFormat="true" ht="13.5"/>
    <row r="11445" s="96" customFormat="true" ht="13.5"/>
    <row r="11446" s="96" customFormat="true" ht="13.5"/>
    <row r="11447" s="96" customFormat="true" ht="13.5"/>
    <row r="11448" s="96" customFormat="true" ht="13.5"/>
    <row r="11449" s="96" customFormat="true" ht="13.5"/>
    <row r="11450" s="96" customFormat="true" ht="13.5"/>
    <row r="11451" s="96" customFormat="true" ht="13.5"/>
    <row r="11452" s="96" customFormat="true" ht="13.5"/>
    <row r="11453" s="96" customFormat="true" ht="13.5"/>
    <row r="11454" s="96" customFormat="true" ht="13.5"/>
    <row r="11455" s="96" customFormat="true" ht="13.5"/>
    <row r="11456" s="96" customFormat="true" ht="13.5"/>
    <row r="11457" s="96" customFormat="true" ht="13.5"/>
    <row r="11458" s="96" customFormat="true" ht="13.5"/>
    <row r="11459" s="96" customFormat="true" ht="13.5"/>
    <row r="11460" s="96" customFormat="true" ht="13.5"/>
    <row r="11461" s="96" customFormat="true" ht="13.5"/>
    <row r="11462" s="96" customFormat="true" ht="13.5"/>
    <row r="11463" s="96" customFormat="true" ht="13.5"/>
    <row r="11464" s="96" customFormat="true" ht="13.5"/>
    <row r="11465" s="96" customFormat="true" ht="13.5"/>
    <row r="11466" s="96" customFormat="true" ht="13.5"/>
    <row r="11467" s="96" customFormat="true" ht="13.5"/>
    <row r="11468" s="96" customFormat="true" ht="13.5"/>
    <row r="11469" s="96" customFormat="true" ht="13.5"/>
    <row r="11470" s="96" customFormat="true" ht="13.5"/>
    <row r="11471" s="96" customFormat="true" ht="13.5"/>
    <row r="11472" s="96" customFormat="true" ht="13.5"/>
    <row r="11473" s="96" customFormat="true" ht="13.5"/>
    <row r="11474" s="96" customFormat="true" ht="13.5"/>
    <row r="11475" s="96" customFormat="true" ht="13.5"/>
    <row r="11476" s="96" customFormat="true" ht="13.5"/>
    <row r="11477" s="96" customFormat="true" ht="13.5"/>
    <row r="11478" s="96" customFormat="true" ht="13.5"/>
    <row r="11479" s="96" customFormat="true" ht="13.5"/>
    <row r="11480" s="96" customFormat="true" ht="13.5"/>
    <row r="11481" s="96" customFormat="true" ht="13.5"/>
    <row r="11482" s="96" customFormat="true" ht="13.5"/>
    <row r="11483" s="96" customFormat="true" ht="13.5"/>
    <row r="11484" s="96" customFormat="true" ht="13.5"/>
    <row r="11485" s="96" customFormat="true" ht="13.5"/>
    <row r="11486" s="96" customFormat="true" ht="13.5"/>
    <row r="11487" s="96" customFormat="true" ht="13.5"/>
    <row r="11488" s="96" customFormat="true" ht="13.5"/>
    <row r="11489" s="96" customFormat="true" ht="13.5"/>
    <row r="11490" s="96" customFormat="true" ht="13.5"/>
    <row r="11491" s="96" customFormat="true" ht="13.5"/>
    <row r="11492" s="96" customFormat="true" ht="13.5"/>
    <row r="11493" s="96" customFormat="true" ht="13.5"/>
    <row r="11494" s="96" customFormat="true" ht="13.5"/>
    <row r="11495" s="96" customFormat="true" ht="13.5"/>
    <row r="11496" s="96" customFormat="true" ht="13.5"/>
    <row r="11497" s="96" customFormat="true" ht="13.5"/>
    <row r="11498" s="96" customFormat="true" ht="13.5"/>
    <row r="11499" s="96" customFormat="true" ht="13.5"/>
    <row r="11500" s="96" customFormat="true" ht="13.5"/>
    <row r="11501" s="96" customFormat="true" ht="13.5"/>
    <row r="11502" s="96" customFormat="true" ht="13.5"/>
    <row r="11503" s="96" customFormat="true" ht="13.5"/>
    <row r="11504" s="96" customFormat="true" ht="13.5"/>
    <row r="11505" s="96" customFormat="true" ht="13.5"/>
    <row r="11506" s="96" customFormat="true" ht="13.5"/>
    <row r="11507" s="96" customFormat="true" ht="13.5"/>
    <row r="11508" s="96" customFormat="true" ht="13.5"/>
    <row r="11509" s="96" customFormat="true" ht="13.5"/>
    <row r="11510" s="96" customFormat="true" ht="13.5"/>
    <row r="11511" s="96" customFormat="true" ht="13.5"/>
    <row r="11512" s="96" customFormat="true" ht="13.5"/>
    <row r="11513" s="96" customFormat="true" ht="13.5"/>
    <row r="11514" s="96" customFormat="true" ht="13.5"/>
    <row r="11515" s="96" customFormat="true" ht="13.5"/>
    <row r="11516" s="96" customFormat="true" ht="13.5"/>
    <row r="11517" s="96" customFormat="true" ht="13.5"/>
    <row r="11518" s="96" customFormat="true" ht="13.5"/>
    <row r="11519" s="96" customFormat="true" ht="13.5"/>
    <row r="11520" s="96" customFormat="true" ht="13.5"/>
    <row r="11521" s="96" customFormat="true" ht="13.5"/>
    <row r="11522" s="96" customFormat="true" ht="13.5"/>
    <row r="11523" s="96" customFormat="true" ht="13.5"/>
    <row r="11524" s="96" customFormat="true" ht="13.5"/>
    <row r="11525" s="96" customFormat="true" ht="13.5"/>
    <row r="11526" s="96" customFormat="true" ht="13.5"/>
    <row r="11527" s="96" customFormat="true" ht="13.5"/>
    <row r="11528" s="96" customFormat="true" ht="13.5"/>
    <row r="11529" s="96" customFormat="true" ht="13.5"/>
    <row r="11530" s="96" customFormat="true" ht="13.5"/>
    <row r="11531" s="96" customFormat="true" ht="13.5"/>
    <row r="11532" s="96" customFormat="true" ht="13.5"/>
    <row r="11533" s="96" customFormat="true" ht="13.5"/>
    <row r="11534" s="96" customFormat="true" ht="13.5"/>
    <row r="11535" s="96" customFormat="true" ht="13.5"/>
    <row r="11536" s="96" customFormat="true" ht="13.5"/>
    <row r="11537" s="96" customFormat="true" ht="13.5"/>
    <row r="11538" s="96" customFormat="true" ht="13.5"/>
    <row r="11539" s="96" customFormat="true" ht="13.5"/>
    <row r="11540" s="96" customFormat="true" ht="13.5"/>
    <row r="11541" s="96" customFormat="true" ht="13.5"/>
    <row r="11542" s="96" customFormat="true" ht="13.5"/>
    <row r="11543" s="96" customFormat="true" ht="13.5"/>
    <row r="11544" s="96" customFormat="true" ht="13.5"/>
    <row r="11545" s="96" customFormat="true" ht="13.5"/>
    <row r="11546" s="96" customFormat="true" ht="13.5"/>
    <row r="11547" s="96" customFormat="true" ht="13.5"/>
    <row r="11548" s="96" customFormat="true" ht="13.5"/>
    <row r="11549" s="96" customFormat="true" ht="13.5"/>
    <row r="11550" s="96" customFormat="true" ht="13.5"/>
    <row r="11551" s="96" customFormat="true" ht="13.5"/>
    <row r="11552" s="96" customFormat="true" ht="13.5"/>
    <row r="11553" s="96" customFormat="true" ht="13.5"/>
    <row r="11554" s="96" customFormat="true" ht="13.5"/>
    <row r="11555" s="96" customFormat="true" ht="13.5"/>
    <row r="11556" s="96" customFormat="true" ht="13.5"/>
    <row r="11557" s="96" customFormat="true" ht="13.5"/>
    <row r="11558" s="96" customFormat="true" ht="13.5"/>
    <row r="11559" s="96" customFormat="true" ht="13.5"/>
    <row r="11560" s="96" customFormat="true" ht="13.5"/>
    <row r="11561" s="96" customFormat="true" ht="13.5"/>
    <row r="11562" s="96" customFormat="true" ht="13.5"/>
    <row r="11563" s="96" customFormat="true" ht="13.5"/>
    <row r="11564" s="96" customFormat="true" ht="13.5"/>
    <row r="11565" s="96" customFormat="true" ht="13.5"/>
    <row r="11566" s="96" customFormat="true" ht="13.5"/>
    <row r="11567" s="96" customFormat="true" ht="13.5"/>
    <row r="11568" s="96" customFormat="true" ht="13.5"/>
    <row r="11569" s="96" customFormat="true" ht="13.5"/>
    <row r="11570" s="96" customFormat="true" ht="13.5"/>
    <row r="11571" s="96" customFormat="true" ht="13.5"/>
    <row r="11572" s="96" customFormat="true" ht="13.5"/>
    <row r="11573" s="96" customFormat="true" ht="13.5"/>
    <row r="11574" s="96" customFormat="true" ht="13.5"/>
    <row r="11575" s="96" customFormat="true" ht="13.5"/>
    <row r="11576" s="96" customFormat="true" ht="13.5"/>
    <row r="11577" s="96" customFormat="true" ht="13.5"/>
    <row r="11578" s="96" customFormat="true" ht="13.5"/>
    <row r="11579" s="96" customFormat="true" ht="13.5"/>
    <row r="11580" s="96" customFormat="true" ht="13.5"/>
    <row r="11581" s="96" customFormat="true" ht="13.5"/>
    <row r="11582" s="96" customFormat="true" ht="13.5"/>
    <row r="11583" s="96" customFormat="true" ht="13.5"/>
    <row r="11584" s="96" customFormat="true" ht="13.5"/>
    <row r="11585" s="96" customFormat="true" ht="13.5"/>
    <row r="11586" s="96" customFormat="true" ht="13.5"/>
    <row r="11587" s="96" customFormat="true" ht="13.5"/>
    <row r="11588" s="96" customFormat="true" ht="13.5"/>
    <row r="11589" s="96" customFormat="true" ht="13.5"/>
    <row r="11590" s="96" customFormat="true" ht="13.5"/>
    <row r="11591" s="96" customFormat="true" ht="13.5"/>
    <row r="11592" s="96" customFormat="true" ht="13.5"/>
    <row r="11593" s="96" customFormat="true" ht="13.5"/>
    <row r="11594" s="96" customFormat="true" ht="13.5"/>
    <row r="11595" s="96" customFormat="true" ht="13.5"/>
    <row r="11596" s="96" customFormat="true" ht="13.5"/>
    <row r="11597" s="96" customFormat="true" ht="13.5"/>
    <row r="11598" s="96" customFormat="true" ht="13.5"/>
    <row r="11599" s="96" customFormat="true" ht="13.5"/>
    <row r="11600" s="96" customFormat="true" ht="13.5"/>
    <row r="11601" s="96" customFormat="true" ht="13.5"/>
    <row r="11602" s="96" customFormat="true" ht="13.5"/>
    <row r="11603" s="96" customFormat="true" ht="13.5"/>
    <row r="11604" s="96" customFormat="true" ht="13.5"/>
    <row r="11605" s="96" customFormat="true" ht="13.5"/>
    <row r="11606" s="96" customFormat="true" ht="13.5"/>
    <row r="11607" s="96" customFormat="true" ht="13.5"/>
    <row r="11608" s="96" customFormat="true" ht="13.5"/>
    <row r="11609" s="96" customFormat="true" ht="13.5"/>
    <row r="11610" s="96" customFormat="true" ht="13.5"/>
    <row r="11611" s="96" customFormat="true" ht="13.5"/>
    <row r="11612" s="96" customFormat="true" ht="13.5"/>
    <row r="11613" s="96" customFormat="true" ht="13.5"/>
    <row r="11614" s="96" customFormat="true" ht="13.5"/>
    <row r="11615" s="96" customFormat="true" ht="13.5"/>
    <row r="11616" s="96" customFormat="true" ht="13.5"/>
    <row r="11617" s="96" customFormat="true" ht="13.5"/>
    <row r="11618" s="96" customFormat="true" ht="13.5"/>
    <row r="11619" s="96" customFormat="true" ht="13.5"/>
    <row r="11620" s="96" customFormat="true" ht="13.5"/>
    <row r="11621" s="96" customFormat="true" ht="13.5"/>
    <row r="11622" s="96" customFormat="true" ht="13.5"/>
    <row r="11623" s="96" customFormat="true" ht="13.5"/>
    <row r="11624" s="96" customFormat="true" ht="13.5"/>
    <row r="11625" s="96" customFormat="true" ht="13.5"/>
    <row r="11626" s="96" customFormat="true" ht="13.5"/>
    <row r="11627" s="96" customFormat="true" ht="13.5"/>
    <row r="11628" s="96" customFormat="true" ht="13.5"/>
    <row r="11629" s="96" customFormat="true" ht="13.5"/>
    <row r="11630" s="96" customFormat="true" ht="13.5"/>
    <row r="11631" s="96" customFormat="true" ht="13.5"/>
    <row r="11632" s="96" customFormat="true" ht="13.5"/>
    <row r="11633" s="96" customFormat="true" ht="13.5"/>
    <row r="11634" s="96" customFormat="true" ht="13.5"/>
    <row r="11635" s="96" customFormat="true" ht="13.5"/>
    <row r="11636" s="96" customFormat="true" ht="13.5"/>
    <row r="11637" s="96" customFormat="true" ht="13.5"/>
    <row r="11638" s="96" customFormat="true" ht="13.5"/>
    <row r="11639" s="96" customFormat="true" ht="13.5"/>
    <row r="11640" s="96" customFormat="true" ht="13.5"/>
    <row r="11641" s="96" customFormat="true" ht="13.5"/>
    <row r="11642" s="96" customFormat="true" ht="13.5"/>
    <row r="11643" s="96" customFormat="true" ht="13.5"/>
    <row r="11644" s="96" customFormat="true" ht="13.5"/>
    <row r="11645" s="96" customFormat="true" ht="13.5"/>
    <row r="11646" s="96" customFormat="true" ht="13.5"/>
    <row r="11647" s="96" customFormat="true" ht="13.5"/>
    <row r="11648" s="96" customFormat="true" ht="13.5"/>
    <row r="11649" s="96" customFormat="true" ht="13.5"/>
    <row r="11650" s="96" customFormat="true" ht="13.5"/>
    <row r="11651" s="96" customFormat="true" ht="13.5"/>
    <row r="11652" s="96" customFormat="true" ht="13.5"/>
    <row r="11653" s="96" customFormat="true" ht="13.5"/>
    <row r="11654" s="96" customFormat="true" ht="13.5"/>
    <row r="11655" s="96" customFormat="true" ht="13.5"/>
    <row r="11656" s="96" customFormat="true" ht="13.5"/>
    <row r="11657" s="96" customFormat="true" ht="13.5"/>
    <row r="11658" s="96" customFormat="true" ht="13.5"/>
    <row r="11659" s="96" customFormat="true" ht="13.5"/>
    <row r="11660" s="96" customFormat="true" ht="13.5"/>
    <row r="11661" s="96" customFormat="true" ht="13.5"/>
    <row r="11662" s="96" customFormat="true" ht="13.5"/>
    <row r="11663" s="96" customFormat="true" ht="13.5"/>
    <row r="11664" s="96" customFormat="true" ht="13.5"/>
    <row r="11665" s="96" customFormat="true" ht="13.5"/>
    <row r="11666" s="96" customFormat="true" ht="13.5"/>
    <row r="11667" s="96" customFormat="true" ht="13.5"/>
    <row r="11668" s="96" customFormat="true" ht="13.5"/>
    <row r="11669" s="96" customFormat="true" ht="13.5"/>
    <row r="11670" s="96" customFormat="true" ht="13.5"/>
    <row r="11671" s="96" customFormat="true" ht="13.5"/>
    <row r="11672" s="96" customFormat="true" ht="13.5"/>
    <row r="11673" s="96" customFormat="true" ht="13.5"/>
    <row r="11674" s="96" customFormat="true" ht="13.5"/>
    <row r="11675" s="96" customFormat="true" ht="13.5"/>
    <row r="11676" s="96" customFormat="true" ht="13.5"/>
    <row r="11677" s="96" customFormat="true" ht="13.5"/>
    <row r="11678" s="96" customFormat="true" ht="13.5"/>
    <row r="11679" s="96" customFormat="true" ht="13.5"/>
    <row r="11680" s="96" customFormat="true" ht="13.5"/>
    <row r="11681" s="96" customFormat="true" ht="13.5"/>
    <row r="11682" s="96" customFormat="true" ht="13.5"/>
    <row r="11683" s="96" customFormat="true" ht="13.5"/>
    <row r="11684" s="96" customFormat="true" ht="13.5"/>
    <row r="11685" s="96" customFormat="true" ht="13.5"/>
    <row r="11686" s="96" customFormat="true" ht="13.5"/>
    <row r="11687" s="96" customFormat="true" ht="13.5"/>
    <row r="11688" s="96" customFormat="true" ht="13.5"/>
    <row r="11689" s="96" customFormat="true" ht="13.5"/>
    <row r="11690" s="96" customFormat="true" ht="13.5"/>
    <row r="11691" s="96" customFormat="true" ht="13.5"/>
    <row r="11692" s="96" customFormat="true" ht="13.5"/>
    <row r="11693" s="96" customFormat="true" ht="13.5"/>
    <row r="11694" s="96" customFormat="true" ht="13.5"/>
    <row r="11695" s="96" customFormat="true" ht="13.5"/>
    <row r="11696" s="96" customFormat="true" ht="13.5"/>
    <row r="11697" s="96" customFormat="true" ht="13.5"/>
    <row r="11698" s="96" customFormat="true" ht="13.5"/>
    <row r="11699" s="96" customFormat="true" ht="13.5"/>
    <row r="11700" s="96" customFormat="true" ht="13.5"/>
    <row r="11701" s="96" customFormat="true" ht="13.5"/>
    <row r="11702" s="96" customFormat="true" ht="13.5"/>
    <row r="11703" s="96" customFormat="true" ht="13.5"/>
    <row r="11704" s="96" customFormat="true" ht="13.5"/>
    <row r="11705" s="96" customFormat="true" ht="13.5"/>
    <row r="11706" s="96" customFormat="true" ht="13.5"/>
    <row r="11707" s="96" customFormat="true" ht="13.5"/>
    <row r="11708" s="96" customFormat="true" ht="13.5"/>
    <row r="11709" s="96" customFormat="true" ht="13.5"/>
    <row r="11710" s="96" customFormat="true" ht="13.5"/>
    <row r="11711" s="96" customFormat="true" ht="13.5"/>
    <row r="11712" s="96" customFormat="true" ht="13.5"/>
    <row r="11713" s="96" customFormat="true" ht="13.5"/>
    <row r="11714" s="96" customFormat="true" ht="13.5"/>
    <row r="11715" s="96" customFormat="true" ht="13.5"/>
    <row r="11716" s="96" customFormat="true" ht="13.5"/>
    <row r="11717" s="96" customFormat="true" ht="13.5"/>
    <row r="11718" s="96" customFormat="true" ht="13.5"/>
    <row r="11719" s="96" customFormat="true" ht="13.5"/>
    <row r="11720" s="96" customFormat="true" ht="13.5"/>
    <row r="11721" s="96" customFormat="true" ht="13.5"/>
    <row r="11722" s="96" customFormat="true" ht="13.5"/>
    <row r="11723" s="96" customFormat="true" ht="13.5"/>
    <row r="11724" s="96" customFormat="true" ht="13.5"/>
    <row r="11725" s="96" customFormat="true" ht="13.5"/>
    <row r="11726" s="96" customFormat="true" ht="13.5"/>
    <row r="11727" s="96" customFormat="true" ht="13.5"/>
    <row r="11728" s="96" customFormat="true" ht="13.5"/>
    <row r="11729" s="96" customFormat="true" ht="13.5"/>
    <row r="11730" s="96" customFormat="true" ht="13.5"/>
    <row r="11731" s="96" customFormat="true" ht="13.5"/>
    <row r="11732" s="96" customFormat="true" ht="13.5"/>
    <row r="11733" s="96" customFormat="true" ht="13.5"/>
    <row r="11734" s="96" customFormat="true" ht="13.5"/>
    <row r="11735" s="96" customFormat="true" ht="13.5"/>
    <row r="11736" s="96" customFormat="true" ht="13.5"/>
    <row r="11737" s="96" customFormat="true" ht="13.5"/>
    <row r="11738" s="96" customFormat="true" ht="13.5"/>
    <row r="11739" s="96" customFormat="true" ht="13.5"/>
    <row r="11740" s="96" customFormat="true" ht="13.5"/>
    <row r="11741" s="96" customFormat="true" ht="13.5"/>
    <row r="11742" s="96" customFormat="true" ht="13.5"/>
    <row r="11743" s="96" customFormat="true" ht="13.5"/>
    <row r="11744" s="96" customFormat="true" ht="13.5"/>
    <row r="11745" s="96" customFormat="true" ht="13.5"/>
    <row r="11746" s="96" customFormat="true" ht="13.5"/>
    <row r="11747" s="96" customFormat="true" ht="13.5"/>
    <row r="11748" s="96" customFormat="true" ht="13.5"/>
    <row r="11749" s="96" customFormat="true" ht="13.5"/>
    <row r="11750" s="96" customFormat="true" ht="13.5"/>
    <row r="11751" s="96" customFormat="true" ht="13.5"/>
    <row r="11752" s="96" customFormat="true" ht="13.5"/>
    <row r="11753" s="96" customFormat="true" ht="13.5"/>
    <row r="11754" s="96" customFormat="true" ht="13.5"/>
    <row r="11755" s="96" customFormat="true" ht="13.5"/>
    <row r="11756" s="96" customFormat="true" ht="13.5"/>
    <row r="11757" s="96" customFormat="true" ht="13.5"/>
    <row r="11758" s="96" customFormat="true" ht="13.5"/>
    <row r="11759" s="96" customFormat="true" ht="13.5"/>
    <row r="11760" s="96" customFormat="true" ht="13.5"/>
    <row r="11761" s="96" customFormat="true" ht="13.5"/>
    <row r="11762" s="96" customFormat="true" ht="13.5"/>
    <row r="11763" s="96" customFormat="true" ht="13.5"/>
    <row r="11764" s="96" customFormat="true" ht="13.5"/>
    <row r="11765" s="96" customFormat="true" ht="13.5"/>
    <row r="11766" s="96" customFormat="true" ht="13.5"/>
    <row r="11767" s="96" customFormat="true" ht="13.5"/>
    <row r="11768" s="96" customFormat="true" ht="13.5"/>
    <row r="11769" s="96" customFormat="true" ht="13.5"/>
    <row r="11770" s="96" customFormat="true" ht="13.5"/>
    <row r="11771" s="96" customFormat="true" ht="13.5"/>
    <row r="11772" s="96" customFormat="true" ht="13.5"/>
    <row r="11773" s="96" customFormat="true" ht="13.5"/>
    <row r="11774" s="96" customFormat="true" ht="13.5"/>
    <row r="11775" s="96" customFormat="true" ht="13.5"/>
    <row r="11776" s="96" customFormat="true" ht="13.5"/>
    <row r="11777" s="96" customFormat="true" ht="13.5"/>
    <row r="11778" s="96" customFormat="true" ht="13.5"/>
    <row r="11779" s="96" customFormat="true" ht="13.5"/>
    <row r="11780" s="96" customFormat="true" ht="13.5"/>
    <row r="11781" s="96" customFormat="true" ht="13.5"/>
    <row r="11782" s="96" customFormat="true" ht="13.5"/>
    <row r="11783" s="96" customFormat="true" ht="13.5"/>
    <row r="11784" s="96" customFormat="true" ht="13.5"/>
    <row r="11785" s="96" customFormat="true" ht="13.5"/>
    <row r="11786" s="96" customFormat="true" ht="13.5"/>
    <row r="11787" s="96" customFormat="true" ht="13.5"/>
    <row r="11788" s="96" customFormat="true" ht="13.5"/>
    <row r="11789" s="96" customFormat="true" ht="13.5"/>
    <row r="11790" s="96" customFormat="true" ht="13.5"/>
    <row r="11791" s="96" customFormat="true" ht="13.5"/>
    <row r="11792" s="96" customFormat="true" ht="13.5"/>
    <row r="11793" s="96" customFormat="true" ht="13.5"/>
    <row r="11794" s="96" customFormat="true" ht="13.5"/>
    <row r="11795" s="96" customFormat="true" ht="13.5"/>
    <row r="11796" s="96" customFormat="true" ht="13.5"/>
    <row r="11797" s="96" customFormat="true" ht="13.5"/>
    <row r="11798" s="96" customFormat="true" ht="13.5"/>
    <row r="11799" s="96" customFormat="true" ht="13.5"/>
    <row r="11800" s="96" customFormat="true" ht="13.5"/>
    <row r="11801" s="96" customFormat="true" ht="13.5"/>
    <row r="11802" s="96" customFormat="true" ht="13.5"/>
    <row r="11803" s="96" customFormat="true" ht="13.5"/>
    <row r="11804" s="96" customFormat="true" ht="13.5"/>
    <row r="11805" s="96" customFormat="true" ht="13.5"/>
    <row r="11806" s="96" customFormat="true" ht="13.5"/>
    <row r="11807" s="96" customFormat="true" ht="13.5"/>
    <row r="11808" s="96" customFormat="true" ht="13.5"/>
    <row r="11809" s="96" customFormat="true" ht="13.5"/>
    <row r="11810" s="96" customFormat="true" ht="13.5"/>
    <row r="11811" s="96" customFormat="true" ht="13.5"/>
    <row r="11812" s="96" customFormat="true" ht="13.5"/>
    <row r="11813" s="96" customFormat="true" ht="13.5"/>
    <row r="11814" s="96" customFormat="true" ht="13.5"/>
    <row r="11815" s="96" customFormat="true" ht="13.5"/>
    <row r="11816" s="96" customFormat="true" ht="13.5"/>
    <row r="11817" s="96" customFormat="true" ht="13.5"/>
    <row r="11818" s="96" customFormat="true" ht="13.5"/>
    <row r="11819" s="96" customFormat="true" ht="13.5"/>
    <row r="11820" s="96" customFormat="true" ht="13.5"/>
    <row r="11821" s="96" customFormat="true" ht="13.5"/>
    <row r="11822" s="96" customFormat="true" ht="13.5"/>
    <row r="11823" s="96" customFormat="true" ht="13.5"/>
    <row r="11824" s="96" customFormat="true" ht="13.5"/>
    <row r="11825" s="96" customFormat="true" ht="13.5"/>
    <row r="11826" s="96" customFormat="true" ht="13.5"/>
    <row r="11827" s="96" customFormat="true" ht="13.5"/>
    <row r="11828" s="96" customFormat="true" ht="13.5"/>
    <row r="11829" s="96" customFormat="true" ht="13.5"/>
    <row r="11830" s="96" customFormat="true" ht="13.5"/>
    <row r="11831" s="96" customFormat="true" ht="13.5"/>
    <row r="11832" s="96" customFormat="true" ht="13.5"/>
    <row r="11833" s="96" customFormat="true" ht="13.5"/>
    <row r="11834" s="96" customFormat="true" ht="13.5"/>
    <row r="11835" s="96" customFormat="true" ht="13.5"/>
    <row r="11836" s="96" customFormat="true" ht="13.5"/>
    <row r="11837" s="96" customFormat="true" ht="13.5"/>
    <row r="11838" s="96" customFormat="true" ht="13.5"/>
    <row r="11839" s="96" customFormat="true" ht="13.5"/>
    <row r="11840" s="96" customFormat="true" ht="13.5"/>
    <row r="11841" s="96" customFormat="true" ht="13.5"/>
    <row r="11842" s="96" customFormat="true" ht="13.5"/>
    <row r="11843" s="96" customFormat="true" ht="13.5"/>
    <row r="11844" s="96" customFormat="true" ht="13.5"/>
    <row r="11845" s="96" customFormat="true" ht="13.5"/>
    <row r="11846" s="96" customFormat="true" ht="13.5"/>
    <row r="11847" s="96" customFormat="true" ht="13.5"/>
    <row r="11848" s="96" customFormat="true" ht="13.5"/>
    <row r="11849" s="96" customFormat="true" ht="13.5"/>
    <row r="11850" s="96" customFormat="true" ht="13.5"/>
    <row r="11851" s="96" customFormat="true" ht="13.5"/>
    <row r="11852" s="96" customFormat="true" ht="13.5"/>
    <row r="11853" s="96" customFormat="true" ht="13.5"/>
    <row r="11854" s="96" customFormat="true" ht="13.5"/>
    <row r="11855" s="96" customFormat="true" ht="13.5"/>
    <row r="11856" s="96" customFormat="true" ht="13.5"/>
    <row r="11857" s="96" customFormat="true" ht="13.5"/>
    <row r="11858" s="96" customFormat="true" ht="13.5"/>
    <row r="11859" s="96" customFormat="true" ht="13.5"/>
    <row r="11860" s="96" customFormat="true" ht="13.5"/>
    <row r="11861" s="96" customFormat="true" ht="13.5"/>
    <row r="11862" s="96" customFormat="true" ht="13.5"/>
    <row r="11863" s="96" customFormat="true" ht="13.5"/>
    <row r="11864" s="96" customFormat="true" ht="13.5"/>
    <row r="11865" s="96" customFormat="true" ht="13.5"/>
    <row r="11866" s="96" customFormat="true" ht="13.5"/>
    <row r="11867" s="96" customFormat="true" ht="13.5"/>
    <row r="11868" s="96" customFormat="true" ht="13.5"/>
    <row r="11869" s="96" customFormat="true" ht="13.5"/>
    <row r="11870" s="96" customFormat="true" ht="13.5"/>
    <row r="11871" s="96" customFormat="true" ht="13.5"/>
    <row r="11872" s="96" customFormat="true" ht="13.5"/>
    <row r="11873" s="96" customFormat="true" ht="13.5"/>
    <row r="11874" s="96" customFormat="true" ht="13.5"/>
    <row r="11875" s="96" customFormat="true" ht="13.5"/>
    <row r="11876" s="96" customFormat="true" ht="13.5"/>
    <row r="11877" s="96" customFormat="true" ht="13.5"/>
    <row r="11878" s="96" customFormat="true" ht="13.5"/>
    <row r="11879" s="96" customFormat="true" ht="13.5"/>
    <row r="11880" s="96" customFormat="true" ht="13.5"/>
    <row r="11881" s="96" customFormat="true" ht="13.5"/>
    <row r="11882" s="96" customFormat="true" ht="13.5"/>
    <row r="11883" s="96" customFormat="true" ht="13.5"/>
    <row r="11884" s="96" customFormat="true" ht="13.5"/>
    <row r="11885" s="96" customFormat="true" ht="13.5"/>
    <row r="11886" s="96" customFormat="true" ht="13.5"/>
    <row r="11887" s="96" customFormat="true" ht="13.5"/>
    <row r="11888" s="96" customFormat="true" ht="13.5"/>
    <row r="11889" s="96" customFormat="true" ht="13.5"/>
    <row r="11890" s="96" customFormat="true" ht="13.5"/>
    <row r="11891" s="96" customFormat="true" ht="13.5"/>
    <row r="11892" s="96" customFormat="true" ht="13.5"/>
    <row r="11893" s="96" customFormat="true" ht="13.5"/>
    <row r="11894" s="96" customFormat="true" ht="13.5"/>
    <row r="11895" s="96" customFormat="true" ht="13.5"/>
    <row r="11896" s="96" customFormat="true" ht="13.5"/>
    <row r="11897" s="96" customFormat="true" ht="13.5"/>
    <row r="11898" s="96" customFormat="true" ht="13.5"/>
    <row r="11899" s="96" customFormat="true" ht="13.5"/>
    <row r="11900" s="96" customFormat="true" ht="13.5"/>
    <row r="11901" s="96" customFormat="true" ht="13.5"/>
    <row r="11902" s="96" customFormat="true" ht="13.5"/>
    <row r="11903" s="96" customFormat="true" ht="13.5"/>
    <row r="11904" s="96" customFormat="true" ht="13.5"/>
    <row r="11905" s="96" customFormat="true" ht="13.5"/>
    <row r="11906" s="96" customFormat="true" ht="13.5"/>
    <row r="11907" s="96" customFormat="true" ht="13.5"/>
    <row r="11908" s="96" customFormat="true" ht="13.5"/>
    <row r="11909" s="96" customFormat="true" ht="13.5"/>
    <row r="11910" s="96" customFormat="true" ht="13.5"/>
    <row r="11911" s="96" customFormat="true" ht="13.5"/>
    <row r="11912" s="96" customFormat="true" ht="13.5"/>
    <row r="11913" s="96" customFormat="true" ht="13.5"/>
    <row r="11914" s="96" customFormat="true" ht="13.5"/>
    <row r="11915" s="96" customFormat="true" ht="13.5"/>
    <row r="11916" s="96" customFormat="true" ht="13.5"/>
    <row r="11917" s="96" customFormat="true" ht="13.5"/>
    <row r="11918" s="96" customFormat="true" ht="13.5"/>
    <row r="11919" s="96" customFormat="true" ht="13.5"/>
    <row r="11920" s="96" customFormat="true" ht="13.5"/>
    <row r="11921" s="96" customFormat="true" ht="13.5"/>
    <row r="11922" s="96" customFormat="true" ht="13.5"/>
    <row r="11923" s="96" customFormat="true" ht="13.5"/>
    <row r="11924" s="96" customFormat="true" ht="13.5"/>
    <row r="11925" s="96" customFormat="true" ht="13.5"/>
    <row r="11926" s="96" customFormat="true" ht="13.5"/>
    <row r="11927" s="96" customFormat="true" ht="13.5"/>
    <row r="11928" s="96" customFormat="true" ht="13.5"/>
    <row r="11929" s="96" customFormat="true" ht="13.5"/>
    <row r="11930" s="96" customFormat="true" ht="13.5"/>
    <row r="11931" s="96" customFormat="true" ht="13.5"/>
    <row r="11932" s="96" customFormat="true" ht="13.5"/>
    <row r="11933" s="96" customFormat="true" ht="13.5"/>
    <row r="11934" s="96" customFormat="true" ht="13.5"/>
    <row r="11935" s="96" customFormat="true" ht="13.5"/>
    <row r="11936" s="96" customFormat="true" ht="13.5"/>
    <row r="11937" s="96" customFormat="true" ht="13.5"/>
    <row r="11938" s="96" customFormat="true" ht="13.5"/>
    <row r="11939" s="96" customFormat="true" ht="13.5"/>
    <row r="11940" s="96" customFormat="true" ht="13.5"/>
    <row r="11941" s="96" customFormat="true" ht="13.5"/>
    <row r="11942" s="96" customFormat="true" ht="13.5"/>
    <row r="11943" s="96" customFormat="true" ht="13.5"/>
    <row r="11944" s="96" customFormat="true" ht="13.5"/>
    <row r="11945" s="96" customFormat="true" ht="13.5"/>
    <row r="11946" s="96" customFormat="true" ht="13.5"/>
    <row r="11947" s="96" customFormat="true" ht="13.5"/>
    <row r="11948" s="96" customFormat="true" ht="13.5"/>
    <row r="11949" s="96" customFormat="true" ht="13.5"/>
    <row r="11950" s="96" customFormat="true" ht="13.5"/>
    <row r="11951" s="96" customFormat="true" ht="13.5"/>
    <row r="11952" s="96" customFormat="true" ht="13.5"/>
    <row r="11953" s="96" customFormat="true" ht="13.5"/>
    <row r="11954" s="96" customFormat="true" ht="13.5"/>
    <row r="11955" s="96" customFormat="true" ht="13.5"/>
    <row r="11956" s="96" customFormat="true" ht="13.5"/>
    <row r="11957" s="96" customFormat="true" ht="13.5"/>
    <row r="11958" s="96" customFormat="true" ht="13.5"/>
    <row r="11959" s="96" customFormat="true" ht="13.5"/>
    <row r="11960" s="96" customFormat="true" ht="13.5"/>
    <row r="11961" s="96" customFormat="true" ht="13.5"/>
    <row r="11962" s="96" customFormat="true" ht="13.5"/>
    <row r="11963" s="96" customFormat="true" ht="13.5"/>
    <row r="11964" s="96" customFormat="true" ht="13.5"/>
    <row r="11965" s="96" customFormat="true" ht="13.5"/>
    <row r="11966" s="96" customFormat="true" ht="13.5"/>
    <row r="11967" s="96" customFormat="true" ht="13.5"/>
    <row r="11968" s="96" customFormat="true" ht="13.5"/>
    <row r="11969" s="96" customFormat="true" ht="13.5"/>
    <row r="11970" s="96" customFormat="true" ht="13.5"/>
    <row r="11971" s="96" customFormat="true" ht="13.5"/>
    <row r="11972" s="96" customFormat="true" ht="13.5"/>
    <row r="11973" s="96" customFormat="true" ht="13.5"/>
    <row r="11974" s="96" customFormat="true" ht="13.5"/>
    <row r="11975" s="96" customFormat="true" ht="13.5"/>
    <row r="11976" s="96" customFormat="true" ht="13.5"/>
    <row r="11977" s="96" customFormat="true" ht="13.5"/>
    <row r="11978" s="96" customFormat="true" ht="13.5"/>
    <row r="11979" s="96" customFormat="true" ht="13.5"/>
    <row r="11980" s="96" customFormat="true" ht="13.5"/>
    <row r="11981" s="96" customFormat="true" ht="13.5"/>
    <row r="11982" s="96" customFormat="true" ht="13.5"/>
    <row r="11983" s="96" customFormat="true" ht="13.5"/>
    <row r="11984" s="96" customFormat="true" ht="13.5"/>
    <row r="11985" s="96" customFormat="true" ht="13.5"/>
    <row r="11986" s="96" customFormat="true" ht="13.5"/>
    <row r="11987" s="96" customFormat="true" ht="13.5"/>
    <row r="11988" s="96" customFormat="true" ht="13.5"/>
    <row r="11989" s="96" customFormat="true" ht="13.5"/>
    <row r="11990" s="96" customFormat="true" ht="13.5"/>
    <row r="11991" s="96" customFormat="true" ht="13.5"/>
    <row r="11992" s="96" customFormat="true" ht="13.5"/>
    <row r="11993" s="96" customFormat="true" ht="13.5"/>
    <row r="11994" s="96" customFormat="true" ht="13.5"/>
    <row r="11995" s="96" customFormat="true" ht="13.5"/>
    <row r="11996" s="96" customFormat="true" ht="13.5"/>
    <row r="11997" s="96" customFormat="true" ht="13.5"/>
    <row r="11998" s="96" customFormat="true" ht="13.5"/>
    <row r="11999" s="96" customFormat="true" ht="13.5"/>
    <row r="12000" s="96" customFormat="true" ht="13.5"/>
    <row r="12001" s="96" customFormat="true" ht="13.5"/>
    <row r="12002" s="96" customFormat="true" ht="13.5"/>
    <row r="12003" s="96" customFormat="true" ht="13.5"/>
    <row r="12004" s="96" customFormat="true" ht="13.5"/>
    <row r="12005" s="96" customFormat="true" ht="13.5"/>
    <row r="12006" s="96" customFormat="true" ht="13.5"/>
    <row r="12007" s="96" customFormat="true" ht="13.5"/>
    <row r="12008" s="96" customFormat="true" ht="13.5"/>
    <row r="12009" s="96" customFormat="true" ht="13.5"/>
    <row r="12010" s="96" customFormat="true" ht="13.5"/>
    <row r="12011" s="96" customFormat="true" ht="13.5"/>
    <row r="12012" s="96" customFormat="true" ht="13.5"/>
    <row r="12013" s="96" customFormat="true" ht="13.5"/>
    <row r="12014" s="96" customFormat="true" ht="13.5"/>
    <row r="12015" s="96" customFormat="true" ht="13.5"/>
    <row r="12016" s="96" customFormat="true" ht="13.5"/>
    <row r="12017" s="96" customFormat="true" ht="13.5"/>
    <row r="12018" s="96" customFormat="true" ht="13.5"/>
    <row r="12019" s="96" customFormat="true" ht="13.5"/>
    <row r="12020" s="96" customFormat="true" ht="13.5"/>
    <row r="12021" s="96" customFormat="true" ht="13.5"/>
    <row r="12022" s="96" customFormat="true" ht="13.5"/>
    <row r="12023" s="96" customFormat="true" ht="13.5"/>
    <row r="12024" s="96" customFormat="true" ht="13.5"/>
    <row r="12025" s="96" customFormat="true" ht="13.5"/>
    <row r="12026" s="96" customFormat="true" ht="13.5"/>
    <row r="12027" s="96" customFormat="true" ht="13.5"/>
    <row r="12028" s="96" customFormat="true" ht="13.5"/>
    <row r="12029" s="96" customFormat="true" ht="13.5"/>
    <row r="12030" s="96" customFormat="true" ht="13.5"/>
    <row r="12031" s="96" customFormat="true" ht="13.5"/>
    <row r="12032" s="96" customFormat="true" ht="13.5"/>
    <row r="12033" s="96" customFormat="true" ht="13.5"/>
    <row r="12034" s="96" customFormat="true" ht="13.5"/>
    <row r="12035" s="96" customFormat="true" ht="13.5"/>
    <row r="12036" s="96" customFormat="true" ht="13.5"/>
    <row r="12037" s="96" customFormat="true" ht="13.5"/>
    <row r="12038" s="96" customFormat="true" ht="13.5"/>
    <row r="12039" s="96" customFormat="true" ht="13.5"/>
    <row r="12040" s="96" customFormat="true" ht="13.5"/>
    <row r="12041" s="96" customFormat="true" ht="13.5"/>
    <row r="12042" s="96" customFormat="true" ht="13.5"/>
    <row r="12043" s="96" customFormat="true" ht="13.5"/>
    <row r="12044" s="96" customFormat="true" ht="13.5"/>
    <row r="12045" s="96" customFormat="true" ht="13.5"/>
    <row r="12046" s="96" customFormat="true" ht="13.5"/>
    <row r="12047" s="96" customFormat="true" ht="13.5"/>
    <row r="12048" s="96" customFormat="true" ht="13.5"/>
    <row r="12049" s="96" customFormat="true" ht="13.5"/>
    <row r="12050" s="96" customFormat="true" ht="13.5"/>
    <row r="12051" s="96" customFormat="true" ht="13.5"/>
    <row r="12052" s="96" customFormat="true" ht="13.5"/>
    <row r="12053" s="96" customFormat="true" ht="13.5"/>
    <row r="12054" s="96" customFormat="true" ht="13.5"/>
    <row r="12055" s="96" customFormat="true" ht="13.5"/>
    <row r="12056" s="96" customFormat="true" ht="13.5"/>
    <row r="12057" s="96" customFormat="true" ht="13.5"/>
    <row r="12058" s="96" customFormat="true" ht="13.5"/>
    <row r="12059" s="96" customFormat="true" ht="13.5"/>
    <row r="12060" s="96" customFormat="true" ht="13.5"/>
    <row r="12061" s="96" customFormat="true" ht="13.5"/>
    <row r="12062" s="96" customFormat="true" ht="13.5"/>
    <row r="12063" s="96" customFormat="true" ht="13.5"/>
    <row r="12064" s="96" customFormat="true" ht="13.5"/>
    <row r="12065" s="96" customFormat="true" ht="13.5"/>
    <row r="12066" s="96" customFormat="true" ht="13.5"/>
    <row r="12067" s="96" customFormat="true" ht="13.5"/>
    <row r="12068" s="96" customFormat="true" ht="13.5"/>
    <row r="12069" s="96" customFormat="true" ht="13.5"/>
    <row r="12070" s="96" customFormat="true" ht="13.5"/>
    <row r="12071" s="96" customFormat="true" ht="13.5"/>
    <row r="12072" s="96" customFormat="true" ht="13.5"/>
    <row r="12073" s="96" customFormat="true" ht="13.5"/>
    <row r="12074" s="96" customFormat="true" ht="13.5"/>
    <row r="12075" s="96" customFormat="true" ht="13.5"/>
    <row r="12076" s="96" customFormat="true" ht="13.5"/>
    <row r="12077" s="96" customFormat="true" ht="13.5"/>
    <row r="12078" s="96" customFormat="true" ht="13.5"/>
    <row r="12079" s="96" customFormat="true" ht="13.5"/>
    <row r="12080" s="96" customFormat="true" ht="13.5"/>
    <row r="12081" s="96" customFormat="true" ht="13.5"/>
    <row r="12082" s="96" customFormat="true" ht="13.5"/>
    <row r="12083" s="96" customFormat="true" ht="13.5"/>
    <row r="12084" s="96" customFormat="true" ht="13.5"/>
    <row r="12085" s="96" customFormat="true" ht="13.5"/>
    <row r="12086" s="96" customFormat="true" ht="13.5"/>
    <row r="12087" s="96" customFormat="true" ht="13.5"/>
    <row r="12088" s="96" customFormat="true" ht="13.5"/>
    <row r="12089" s="96" customFormat="true" ht="13.5"/>
    <row r="12090" s="96" customFormat="true" ht="13.5"/>
    <row r="12091" s="96" customFormat="true" ht="13.5"/>
    <row r="12092" s="96" customFormat="true" ht="13.5"/>
    <row r="12093" s="96" customFormat="true" ht="13.5"/>
    <row r="12094" s="96" customFormat="true" ht="13.5"/>
    <row r="12095" s="96" customFormat="true" ht="13.5"/>
    <row r="12096" s="96" customFormat="true" ht="13.5"/>
    <row r="12097" s="96" customFormat="true" ht="13.5"/>
    <row r="12098" s="96" customFormat="true" ht="13.5"/>
    <row r="12099" s="96" customFormat="true" ht="13.5"/>
    <row r="12100" s="96" customFormat="true" ht="13.5"/>
    <row r="12101" s="96" customFormat="true" ht="13.5"/>
    <row r="12102" s="96" customFormat="true" ht="13.5"/>
    <row r="12103" s="96" customFormat="true" ht="13.5"/>
    <row r="12104" s="96" customFormat="true" ht="13.5"/>
    <row r="12105" s="96" customFormat="true" ht="13.5"/>
    <row r="12106" s="96" customFormat="true" ht="13.5"/>
    <row r="12107" s="96" customFormat="true" ht="13.5"/>
    <row r="12108" s="96" customFormat="true" ht="13.5"/>
    <row r="12109" s="96" customFormat="true" ht="13.5"/>
    <row r="12110" s="96" customFormat="true" ht="13.5"/>
    <row r="12111" s="96" customFormat="true" ht="13.5"/>
    <row r="12112" s="96" customFormat="true" ht="13.5"/>
    <row r="12113" s="96" customFormat="true" ht="13.5"/>
    <row r="12114" s="96" customFormat="true" ht="13.5"/>
    <row r="12115" s="96" customFormat="true" ht="13.5"/>
    <row r="12116" s="96" customFormat="true" ht="13.5"/>
    <row r="12117" s="96" customFormat="true" ht="13.5"/>
    <row r="12118" s="96" customFormat="true" ht="13.5"/>
    <row r="12119" s="96" customFormat="true" ht="13.5"/>
    <row r="12120" s="96" customFormat="true" ht="13.5"/>
    <row r="12121" s="96" customFormat="true" ht="13.5"/>
    <row r="12122" s="96" customFormat="true" ht="13.5"/>
    <row r="12123" s="96" customFormat="true" ht="13.5"/>
    <row r="12124" s="96" customFormat="true" ht="13.5"/>
    <row r="12125" s="96" customFormat="true" ht="13.5"/>
    <row r="12126" s="96" customFormat="true" ht="13.5"/>
    <row r="12127" s="96" customFormat="true" ht="13.5"/>
    <row r="12128" s="96" customFormat="true" ht="13.5"/>
    <row r="12129" s="96" customFormat="true" ht="13.5"/>
    <row r="12130" s="96" customFormat="true" ht="13.5"/>
    <row r="12131" s="96" customFormat="true" ht="13.5"/>
    <row r="12132" s="96" customFormat="true" ht="13.5"/>
    <row r="12133" s="96" customFormat="true" ht="13.5"/>
    <row r="12134" s="96" customFormat="true" ht="13.5"/>
    <row r="12135" s="96" customFormat="true" ht="13.5"/>
    <row r="12136" s="96" customFormat="true" ht="13.5"/>
    <row r="12137" s="96" customFormat="true" ht="13.5"/>
    <row r="12138" s="96" customFormat="true" ht="13.5"/>
    <row r="12139" s="96" customFormat="true" ht="13.5"/>
    <row r="12140" s="96" customFormat="true" ht="13.5"/>
    <row r="12141" s="96" customFormat="true" ht="13.5"/>
    <row r="12142" s="96" customFormat="true" ht="13.5"/>
    <row r="12143" s="96" customFormat="true" ht="13.5"/>
    <row r="12144" s="96" customFormat="true" ht="13.5"/>
    <row r="12145" s="96" customFormat="true" ht="13.5"/>
    <row r="12146" s="96" customFormat="true" ht="13.5"/>
    <row r="12147" s="96" customFormat="true" ht="13.5"/>
    <row r="12148" s="96" customFormat="true" ht="13.5"/>
    <row r="12149" s="96" customFormat="true" ht="13.5"/>
    <row r="12150" s="96" customFormat="true" ht="13.5"/>
    <row r="12151" s="96" customFormat="true" ht="13.5"/>
    <row r="12152" s="96" customFormat="true" ht="13.5"/>
    <row r="12153" s="96" customFormat="true" ht="13.5"/>
    <row r="12154" s="96" customFormat="true" ht="13.5"/>
    <row r="12155" s="96" customFormat="true" ht="13.5"/>
    <row r="12156" s="96" customFormat="true" ht="13.5"/>
    <row r="12157" s="96" customFormat="true" ht="13.5"/>
    <row r="12158" s="96" customFormat="true" ht="13.5"/>
    <row r="12159" s="96" customFormat="true" ht="13.5"/>
    <row r="12160" s="96" customFormat="true" ht="13.5"/>
    <row r="12161" s="96" customFormat="true" ht="13.5"/>
    <row r="12162" s="96" customFormat="true" ht="13.5"/>
    <row r="12163" s="96" customFormat="true" ht="13.5"/>
    <row r="12164" s="96" customFormat="true" ht="13.5"/>
    <row r="12165" s="96" customFormat="true" ht="13.5"/>
    <row r="12166" s="96" customFormat="true" ht="13.5"/>
    <row r="12167" s="96" customFormat="true" ht="13.5"/>
    <row r="12168" s="96" customFormat="true" ht="13.5"/>
    <row r="12169" s="96" customFormat="true" ht="13.5"/>
    <row r="12170" s="96" customFormat="true" ht="13.5"/>
    <row r="12171" s="96" customFormat="true" ht="13.5"/>
    <row r="12172" s="96" customFormat="true" ht="13.5"/>
    <row r="12173" s="96" customFormat="true" ht="13.5"/>
    <row r="12174" s="96" customFormat="true" ht="13.5"/>
    <row r="12175" s="96" customFormat="true" ht="13.5"/>
    <row r="12176" s="96" customFormat="true" ht="13.5"/>
    <row r="12177" s="96" customFormat="true" ht="13.5"/>
    <row r="12178" s="96" customFormat="true" ht="13.5"/>
    <row r="12179" s="96" customFormat="true" ht="13.5"/>
    <row r="12180" s="96" customFormat="true" ht="13.5"/>
    <row r="12181" s="96" customFormat="true" ht="13.5"/>
    <row r="12182" s="96" customFormat="true" ht="13.5"/>
    <row r="12183" s="96" customFormat="true" ht="13.5"/>
    <row r="12184" s="96" customFormat="true" ht="13.5"/>
    <row r="12185" s="96" customFormat="true" ht="13.5"/>
    <row r="12186" s="96" customFormat="true" ht="13.5"/>
    <row r="12187" s="96" customFormat="true" ht="13.5"/>
    <row r="12188" s="96" customFormat="true" ht="13.5"/>
    <row r="12189" s="96" customFormat="true" ht="13.5"/>
    <row r="12190" s="96" customFormat="true" ht="13.5"/>
    <row r="12191" s="96" customFormat="true" ht="13.5"/>
    <row r="12192" s="96" customFormat="true" ht="13.5"/>
    <row r="12193" s="96" customFormat="true" ht="13.5"/>
    <row r="12194" s="96" customFormat="true" ht="13.5"/>
    <row r="12195" s="96" customFormat="true" ht="13.5"/>
    <row r="12196" s="96" customFormat="true" ht="13.5"/>
    <row r="12197" s="96" customFormat="true" ht="13.5"/>
    <row r="12198" s="96" customFormat="true" ht="13.5"/>
    <row r="12199" s="96" customFormat="true" ht="13.5"/>
    <row r="12200" s="96" customFormat="true" ht="13.5"/>
    <row r="12201" s="96" customFormat="true" ht="13.5"/>
    <row r="12202" s="96" customFormat="true" ht="13.5"/>
    <row r="12203" s="96" customFormat="true" ht="13.5"/>
    <row r="12204" s="96" customFormat="true" ht="13.5"/>
    <row r="12205" s="96" customFormat="true" ht="13.5"/>
    <row r="12206" s="96" customFormat="true" ht="13.5"/>
    <row r="12207" s="96" customFormat="true" ht="13.5"/>
    <row r="12208" s="96" customFormat="true" ht="13.5"/>
    <row r="12209" s="96" customFormat="true" ht="13.5"/>
    <row r="12210" s="96" customFormat="true" ht="13.5"/>
    <row r="12211" s="96" customFormat="true" ht="13.5"/>
    <row r="12212" s="96" customFormat="true" ht="13.5"/>
    <row r="12213" s="96" customFormat="true" ht="13.5"/>
    <row r="12214" s="96" customFormat="true" ht="13.5"/>
    <row r="12215" s="96" customFormat="true" ht="13.5"/>
    <row r="12216" s="96" customFormat="true" ht="13.5"/>
    <row r="12217" s="96" customFormat="true" ht="13.5"/>
    <row r="12218" s="96" customFormat="true" ht="13.5"/>
    <row r="12219" s="96" customFormat="true" ht="13.5"/>
    <row r="12220" s="96" customFormat="true" ht="13.5"/>
    <row r="12221" s="96" customFormat="true" ht="13.5"/>
    <row r="12222" s="96" customFormat="true" ht="13.5"/>
    <row r="12223" s="96" customFormat="true" ht="13.5"/>
    <row r="12224" s="96" customFormat="true" ht="13.5"/>
    <row r="12225" s="96" customFormat="true" ht="13.5"/>
    <row r="12226" s="96" customFormat="true" ht="13.5"/>
    <row r="12227" s="96" customFormat="true" ht="13.5"/>
    <row r="12228" s="96" customFormat="true" ht="13.5"/>
    <row r="12229" s="96" customFormat="true" ht="13.5"/>
    <row r="12230" s="96" customFormat="true" ht="13.5"/>
    <row r="12231" s="96" customFormat="true" ht="13.5"/>
    <row r="12232" s="96" customFormat="true" ht="13.5"/>
    <row r="12233" s="96" customFormat="true" ht="13.5"/>
    <row r="12234" s="96" customFormat="true" ht="13.5"/>
    <row r="12235" s="96" customFormat="true" ht="13.5"/>
    <row r="12236" s="96" customFormat="true" ht="13.5"/>
    <row r="12237" s="96" customFormat="true" ht="13.5"/>
    <row r="12238" s="96" customFormat="true" ht="13.5"/>
    <row r="12239" s="96" customFormat="true" ht="13.5"/>
    <row r="12240" s="96" customFormat="true" ht="13.5"/>
    <row r="12241" s="96" customFormat="true" ht="13.5"/>
    <row r="12242" s="96" customFormat="true" ht="13.5"/>
    <row r="12243" s="96" customFormat="true" ht="13.5"/>
    <row r="12244" s="96" customFormat="true" ht="13.5"/>
    <row r="12245" s="96" customFormat="true" ht="13.5"/>
    <row r="12246" s="96" customFormat="true" ht="13.5"/>
    <row r="12247" s="96" customFormat="true" ht="13.5"/>
    <row r="12248" s="96" customFormat="true" ht="13.5"/>
    <row r="12249" s="96" customFormat="true" ht="13.5"/>
    <row r="12250" s="96" customFormat="true" ht="13.5"/>
    <row r="12251" s="96" customFormat="true" ht="13.5"/>
    <row r="12252" s="96" customFormat="true" ht="13.5"/>
    <row r="12253" s="96" customFormat="true" ht="13.5"/>
    <row r="12254" s="96" customFormat="true" ht="13.5"/>
    <row r="12255" s="96" customFormat="true" ht="13.5"/>
    <row r="12256" s="96" customFormat="true" ht="13.5"/>
    <row r="12257" s="96" customFormat="true" ht="13.5"/>
    <row r="12258" s="96" customFormat="true" ht="13.5"/>
    <row r="12259" s="96" customFormat="true" ht="13.5"/>
    <row r="12260" s="96" customFormat="true" ht="13.5"/>
    <row r="12261" s="96" customFormat="true" ht="13.5"/>
    <row r="12262" s="96" customFormat="true" ht="13.5"/>
    <row r="12263" s="96" customFormat="true" ht="13.5"/>
    <row r="12264" s="96" customFormat="true" ht="13.5"/>
    <row r="12265" s="96" customFormat="true" ht="13.5"/>
    <row r="12266" s="96" customFormat="true" ht="13.5"/>
    <row r="12267" s="96" customFormat="true" ht="13.5"/>
    <row r="12268" s="96" customFormat="true" ht="13.5"/>
    <row r="12269" s="96" customFormat="true" ht="13.5"/>
    <row r="12270" s="96" customFormat="true" ht="13.5"/>
    <row r="12271" s="96" customFormat="true" ht="13.5"/>
    <row r="12272" s="96" customFormat="true" ht="13.5"/>
    <row r="12273" s="96" customFormat="true" ht="13.5"/>
    <row r="12274" s="96" customFormat="true" ht="13.5"/>
    <row r="12275" s="96" customFormat="true" ht="13.5"/>
    <row r="12276" s="96" customFormat="true" ht="13.5"/>
    <row r="12277" s="96" customFormat="true" ht="13.5"/>
    <row r="12278" s="96" customFormat="true" ht="13.5"/>
    <row r="12279" s="96" customFormat="true" ht="13.5"/>
    <row r="12280" s="96" customFormat="true" ht="13.5"/>
    <row r="12281" s="96" customFormat="true" ht="13.5"/>
    <row r="12282" s="96" customFormat="true" ht="13.5"/>
    <row r="12283" s="96" customFormat="true" ht="13.5"/>
    <row r="12284" s="96" customFormat="true" ht="13.5"/>
    <row r="12285" s="96" customFormat="true" ht="13.5"/>
    <row r="12286" s="96" customFormat="true" ht="13.5"/>
    <row r="12287" s="96" customFormat="true" ht="13.5"/>
    <row r="12288" s="96" customFormat="true" ht="13.5"/>
    <row r="12289" s="96" customFormat="true" ht="13.5"/>
    <row r="12290" s="96" customFormat="true" ht="13.5"/>
    <row r="12291" s="96" customFormat="true" ht="13.5"/>
    <row r="12292" s="96" customFormat="true" ht="13.5"/>
    <row r="12293" s="96" customFormat="true" ht="13.5"/>
    <row r="12294" s="96" customFormat="true" ht="13.5"/>
    <row r="12295" s="96" customFormat="true" ht="13.5"/>
    <row r="12296" s="96" customFormat="true" ht="13.5"/>
    <row r="12297" s="96" customFormat="true" ht="13.5"/>
    <row r="12298" s="96" customFormat="true" ht="13.5"/>
    <row r="12299" s="96" customFormat="true" ht="13.5"/>
    <row r="12300" s="96" customFormat="true" ht="13.5"/>
    <row r="12301" s="96" customFormat="true" ht="13.5"/>
    <row r="12302" s="96" customFormat="true" ht="13.5"/>
    <row r="12303" s="96" customFormat="true" ht="13.5"/>
    <row r="12304" s="96" customFormat="true" ht="13.5"/>
    <row r="12305" s="96" customFormat="true" ht="13.5"/>
    <row r="12306" s="96" customFormat="true" ht="13.5"/>
    <row r="12307" s="96" customFormat="true" ht="13.5"/>
    <row r="12308" s="96" customFormat="true" ht="13.5"/>
    <row r="12309" s="96" customFormat="true" ht="13.5"/>
    <row r="12310" s="96" customFormat="true" ht="13.5"/>
    <row r="12311" s="96" customFormat="true" ht="13.5"/>
    <row r="12312" s="96" customFormat="true" ht="13.5"/>
    <row r="12313" s="96" customFormat="true" ht="13.5"/>
    <row r="12314" s="96" customFormat="true" ht="13.5"/>
    <row r="12315" s="96" customFormat="true" ht="13.5"/>
    <row r="12316" s="96" customFormat="true" ht="13.5"/>
    <row r="12317" s="96" customFormat="true" ht="13.5"/>
    <row r="12318" s="96" customFormat="true" ht="13.5"/>
    <row r="12319" s="96" customFormat="true" ht="13.5"/>
    <row r="12320" s="96" customFormat="true" ht="13.5"/>
    <row r="12321" s="96" customFormat="true" ht="13.5"/>
    <row r="12322" s="96" customFormat="true" ht="13.5"/>
    <row r="12323" s="96" customFormat="true" ht="13.5"/>
    <row r="12324" s="96" customFormat="true" ht="13.5"/>
    <row r="12325" s="96" customFormat="true" ht="13.5"/>
    <row r="12326" s="96" customFormat="true" ht="13.5"/>
    <row r="12327" s="96" customFormat="true" ht="13.5"/>
    <row r="12328" s="96" customFormat="true" ht="13.5"/>
    <row r="12329" s="96" customFormat="true" ht="13.5"/>
    <row r="12330" s="96" customFormat="true" ht="13.5"/>
    <row r="12331" s="96" customFormat="true" ht="13.5"/>
    <row r="12332" s="96" customFormat="true" ht="13.5"/>
    <row r="12333" s="96" customFormat="true" ht="13.5"/>
    <row r="12334" s="96" customFormat="true" ht="13.5"/>
    <row r="12335" s="96" customFormat="true" ht="13.5"/>
    <row r="12336" s="96" customFormat="true" ht="13.5"/>
    <row r="12337" s="96" customFormat="true" ht="13.5"/>
    <row r="12338" s="96" customFormat="true" ht="13.5"/>
    <row r="12339" s="96" customFormat="true" ht="13.5"/>
    <row r="12340" s="96" customFormat="true" ht="13.5"/>
    <row r="12341" s="96" customFormat="true" ht="13.5"/>
    <row r="12342" s="96" customFormat="true" ht="13.5"/>
    <row r="12343" s="96" customFormat="true" ht="13.5"/>
    <row r="12344" s="96" customFormat="true" ht="13.5"/>
    <row r="12345" s="96" customFormat="true" ht="13.5"/>
    <row r="12346" s="96" customFormat="true" ht="13.5"/>
    <row r="12347" s="96" customFormat="true" ht="13.5"/>
    <row r="12348" s="96" customFormat="true" ht="13.5"/>
    <row r="12349" s="96" customFormat="true" ht="13.5"/>
    <row r="12350" s="96" customFormat="true" ht="13.5"/>
    <row r="12351" s="96" customFormat="true" ht="13.5"/>
    <row r="12352" s="96" customFormat="true" ht="13.5"/>
    <row r="12353" s="96" customFormat="true" ht="13.5"/>
    <row r="12354" s="96" customFormat="true" ht="13.5"/>
    <row r="12355" s="96" customFormat="true" ht="13.5"/>
    <row r="12356" s="96" customFormat="true" ht="13.5"/>
    <row r="12357" s="96" customFormat="true" ht="13.5"/>
    <row r="12358" s="96" customFormat="true" ht="13.5"/>
    <row r="12359" s="96" customFormat="true" ht="13.5"/>
    <row r="12360" s="96" customFormat="true" ht="13.5"/>
    <row r="12361" s="96" customFormat="true" ht="13.5"/>
    <row r="12362" s="96" customFormat="true" ht="13.5"/>
    <row r="12363" s="96" customFormat="true" ht="13.5"/>
    <row r="12364" s="96" customFormat="true" ht="13.5"/>
    <row r="12365" s="96" customFormat="true" ht="13.5"/>
    <row r="12366" s="96" customFormat="true" ht="13.5"/>
    <row r="12367" s="96" customFormat="true" ht="13.5"/>
    <row r="12368" s="96" customFormat="true" ht="13.5"/>
    <row r="12369" s="96" customFormat="true" ht="13.5"/>
    <row r="12370" s="96" customFormat="true" ht="13.5"/>
    <row r="12371" s="96" customFormat="true" ht="13.5"/>
    <row r="12372" s="96" customFormat="true" ht="13.5"/>
    <row r="12373" s="96" customFormat="true" ht="13.5"/>
    <row r="12374" s="96" customFormat="true" ht="13.5"/>
    <row r="12375" s="96" customFormat="true" ht="13.5"/>
    <row r="12376" s="96" customFormat="true" ht="13.5"/>
    <row r="12377" s="96" customFormat="true" ht="13.5"/>
    <row r="12378" s="96" customFormat="true" ht="13.5"/>
    <row r="12379" s="96" customFormat="true" ht="13.5"/>
    <row r="12380" s="96" customFormat="true" ht="13.5"/>
    <row r="12381" s="96" customFormat="true" ht="13.5"/>
    <row r="12382" s="96" customFormat="true" ht="13.5"/>
    <row r="12383" s="96" customFormat="true" ht="13.5"/>
    <row r="12384" s="96" customFormat="true" ht="13.5"/>
    <row r="12385" s="96" customFormat="true" ht="13.5"/>
    <row r="12386" s="96" customFormat="true" ht="13.5"/>
    <row r="12387" s="96" customFormat="true" ht="13.5"/>
    <row r="12388" s="96" customFormat="true" ht="13.5"/>
    <row r="12389" s="96" customFormat="true" ht="13.5"/>
    <row r="12390" s="96" customFormat="true" ht="13.5"/>
    <row r="12391" s="96" customFormat="true" ht="13.5"/>
    <row r="12392" s="96" customFormat="true" ht="13.5"/>
    <row r="12393" s="96" customFormat="true" ht="13.5"/>
    <row r="12394" s="96" customFormat="true" ht="13.5"/>
    <row r="12395" s="96" customFormat="true" ht="13.5"/>
    <row r="12396" s="96" customFormat="true" ht="13.5"/>
    <row r="12397" s="96" customFormat="true" ht="13.5"/>
    <row r="12398" s="96" customFormat="true" ht="13.5"/>
    <row r="12399" s="96" customFormat="true" ht="13.5"/>
    <row r="12400" s="96" customFormat="true" ht="13.5"/>
    <row r="12401" s="96" customFormat="true" ht="13.5"/>
    <row r="12402" s="96" customFormat="true" ht="13.5"/>
    <row r="12403" s="96" customFormat="true" ht="13.5"/>
    <row r="12404" s="96" customFormat="true" ht="13.5"/>
    <row r="12405" s="96" customFormat="true" ht="13.5"/>
    <row r="12406" s="96" customFormat="true" ht="13.5"/>
    <row r="12407" s="96" customFormat="true" ht="13.5"/>
    <row r="12408" s="96" customFormat="true" ht="13.5"/>
    <row r="12409" s="96" customFormat="true" ht="13.5"/>
    <row r="12410" s="96" customFormat="true" ht="13.5"/>
    <row r="12411" s="96" customFormat="true" ht="13.5"/>
    <row r="12412" s="96" customFormat="true" ht="13.5"/>
    <row r="12413" s="96" customFormat="true" ht="13.5"/>
    <row r="12414" s="96" customFormat="true" ht="13.5"/>
    <row r="12415" s="96" customFormat="true" ht="13.5"/>
    <row r="12416" s="96" customFormat="true" ht="13.5"/>
    <row r="12417" s="96" customFormat="true" ht="13.5"/>
    <row r="12418" s="96" customFormat="true" ht="13.5"/>
    <row r="12419" s="96" customFormat="true" ht="13.5"/>
    <row r="12420" s="96" customFormat="true" ht="13.5"/>
    <row r="12421" s="96" customFormat="true" ht="13.5"/>
    <row r="12422" s="96" customFormat="true" ht="13.5"/>
    <row r="12423" s="96" customFormat="true" ht="13.5"/>
    <row r="12424" s="96" customFormat="true" ht="13.5"/>
    <row r="12425" s="96" customFormat="true" ht="13.5"/>
    <row r="12426" s="96" customFormat="true" ht="13.5"/>
    <row r="12427" s="96" customFormat="true" ht="13.5"/>
    <row r="12428" s="96" customFormat="true" ht="13.5"/>
    <row r="12429" s="96" customFormat="true" ht="13.5"/>
    <row r="12430" s="96" customFormat="true" ht="13.5"/>
    <row r="12431" s="96" customFormat="true" ht="13.5"/>
    <row r="12432" s="96" customFormat="true" ht="13.5"/>
    <row r="12433" s="96" customFormat="true" ht="13.5"/>
    <row r="12434" s="96" customFormat="true" ht="13.5"/>
    <row r="12435" s="96" customFormat="true" ht="13.5"/>
    <row r="12436" s="96" customFormat="true" ht="13.5"/>
    <row r="12437" s="96" customFormat="true" ht="13.5"/>
    <row r="12438" s="96" customFormat="true" ht="13.5"/>
    <row r="12439" s="96" customFormat="true" ht="13.5"/>
    <row r="12440" s="96" customFormat="true" ht="13.5"/>
    <row r="12441" s="96" customFormat="true" ht="13.5"/>
    <row r="12442" s="96" customFormat="true" ht="13.5"/>
    <row r="12443" s="96" customFormat="true" ht="13.5"/>
    <row r="12444" s="96" customFormat="true" ht="13.5"/>
    <row r="12445" s="96" customFormat="true" ht="13.5"/>
    <row r="12446" s="96" customFormat="true" ht="13.5"/>
    <row r="12447" s="96" customFormat="true" ht="13.5"/>
    <row r="12448" s="96" customFormat="true" ht="13.5"/>
    <row r="12449" s="96" customFormat="true" ht="13.5"/>
    <row r="12450" s="96" customFormat="true" ht="13.5"/>
    <row r="12451" s="96" customFormat="true" ht="13.5"/>
    <row r="12452" s="96" customFormat="true" ht="13.5"/>
    <row r="12453" s="96" customFormat="true" ht="13.5"/>
    <row r="12454" s="96" customFormat="true" ht="13.5"/>
    <row r="12455" s="96" customFormat="true" ht="13.5"/>
    <row r="12456" s="96" customFormat="true" ht="13.5"/>
    <row r="12457" s="96" customFormat="true" ht="13.5"/>
    <row r="12458" s="96" customFormat="true" ht="13.5"/>
    <row r="12459" s="96" customFormat="true" ht="13.5"/>
    <row r="12460" s="96" customFormat="true" ht="13.5"/>
    <row r="12461" s="96" customFormat="true" ht="13.5"/>
    <row r="12462" s="96" customFormat="true" ht="13.5"/>
    <row r="12463" s="96" customFormat="true" ht="13.5"/>
    <row r="12464" s="96" customFormat="true" ht="13.5"/>
    <row r="12465" s="96" customFormat="true" ht="13.5"/>
    <row r="12466" s="96" customFormat="true" ht="13.5"/>
    <row r="12467" s="96" customFormat="true" ht="13.5"/>
    <row r="12468" s="96" customFormat="true" ht="13.5"/>
    <row r="12469" s="96" customFormat="true" ht="13.5"/>
    <row r="12470" s="96" customFormat="true" ht="13.5"/>
    <row r="12471" s="96" customFormat="true" ht="13.5"/>
    <row r="12472" s="96" customFormat="true" ht="13.5"/>
    <row r="12473" s="96" customFormat="true" ht="13.5"/>
    <row r="12474" s="96" customFormat="true" ht="13.5"/>
    <row r="12475" s="96" customFormat="true" ht="13.5"/>
    <row r="12476" s="96" customFormat="true" ht="13.5"/>
    <row r="12477" s="96" customFormat="true" ht="13.5"/>
    <row r="12478" s="96" customFormat="true" ht="13.5"/>
    <row r="12479" s="96" customFormat="true" ht="13.5"/>
    <row r="12480" s="96" customFormat="true" ht="13.5"/>
    <row r="12481" s="96" customFormat="true" ht="13.5"/>
    <row r="12482" s="96" customFormat="true" ht="13.5"/>
    <row r="12483" s="96" customFormat="true" ht="13.5"/>
    <row r="12484" s="96" customFormat="true" ht="13.5"/>
    <row r="12485" s="96" customFormat="true" ht="13.5"/>
    <row r="12486" s="96" customFormat="true" ht="13.5"/>
    <row r="12487" s="96" customFormat="true" ht="13.5"/>
    <row r="12488" s="96" customFormat="true" ht="13.5"/>
    <row r="12489" s="96" customFormat="true" ht="13.5"/>
    <row r="12490" s="96" customFormat="true" ht="13.5"/>
    <row r="12491" s="96" customFormat="true" ht="13.5"/>
    <row r="12492" s="96" customFormat="true" ht="13.5"/>
    <row r="12493" s="96" customFormat="true" ht="13.5"/>
    <row r="12494" s="96" customFormat="true" ht="13.5"/>
    <row r="12495" s="96" customFormat="true" ht="13.5"/>
    <row r="12496" s="96" customFormat="true" ht="13.5"/>
    <row r="12497" s="96" customFormat="true" ht="13.5"/>
    <row r="12498" s="96" customFormat="true" ht="13.5"/>
    <row r="12499" s="96" customFormat="true" ht="13.5"/>
    <row r="12500" s="96" customFormat="true" ht="13.5"/>
    <row r="12501" s="96" customFormat="true" ht="13.5"/>
    <row r="12502" s="96" customFormat="true" ht="13.5"/>
    <row r="12503" s="96" customFormat="true" ht="13.5"/>
    <row r="12504" s="96" customFormat="true" ht="13.5"/>
    <row r="12505" s="96" customFormat="true" ht="13.5"/>
    <row r="12506" s="96" customFormat="true" ht="13.5"/>
    <row r="12507" s="96" customFormat="true" ht="13.5"/>
    <row r="12508" s="96" customFormat="true" ht="13.5"/>
    <row r="12509" s="96" customFormat="true" ht="13.5"/>
    <row r="12510" s="96" customFormat="true" ht="13.5"/>
    <row r="12511" s="96" customFormat="true" ht="13.5"/>
    <row r="12512" s="96" customFormat="true" ht="13.5"/>
    <row r="12513" s="96" customFormat="true" ht="13.5"/>
    <row r="12514" s="96" customFormat="true" ht="13.5"/>
    <row r="12515" s="96" customFormat="true" ht="13.5"/>
    <row r="12516" s="96" customFormat="true" ht="13.5"/>
    <row r="12517" s="96" customFormat="true" ht="13.5"/>
    <row r="12518" s="96" customFormat="true" ht="13.5"/>
    <row r="12519" s="96" customFormat="true" ht="13.5"/>
    <row r="12520" s="96" customFormat="true" ht="13.5"/>
    <row r="12521" s="96" customFormat="true" ht="13.5"/>
    <row r="12522" s="96" customFormat="true" ht="13.5"/>
    <row r="12523" s="96" customFormat="true" ht="13.5"/>
    <row r="12524" s="96" customFormat="true" ht="13.5"/>
    <row r="12525" s="96" customFormat="true" ht="13.5"/>
    <row r="12526" s="96" customFormat="true" ht="13.5"/>
    <row r="12527" s="96" customFormat="true" ht="13.5"/>
    <row r="12528" s="96" customFormat="true" ht="13.5"/>
    <row r="12529" s="96" customFormat="true" ht="13.5"/>
    <row r="12530" s="96" customFormat="true" ht="13.5"/>
    <row r="12531" s="96" customFormat="true" ht="13.5"/>
    <row r="12532" s="96" customFormat="true" ht="13.5"/>
    <row r="12533" s="96" customFormat="true" ht="13.5"/>
    <row r="12534" s="96" customFormat="true" ht="13.5"/>
    <row r="12535" s="96" customFormat="true" ht="13.5"/>
    <row r="12536" s="96" customFormat="true" ht="13.5"/>
    <row r="12537" s="96" customFormat="true" ht="13.5"/>
    <row r="12538" s="96" customFormat="true" ht="13.5"/>
    <row r="12539" s="96" customFormat="true" ht="13.5"/>
    <row r="12540" s="96" customFormat="true" ht="13.5"/>
    <row r="12541" s="96" customFormat="true" ht="13.5"/>
    <row r="12542" s="96" customFormat="true" ht="13.5"/>
    <row r="12543" s="96" customFormat="true" ht="13.5"/>
    <row r="12544" s="96" customFormat="true" ht="13.5"/>
    <row r="12545" s="96" customFormat="true" ht="13.5"/>
    <row r="12546" s="96" customFormat="true" ht="13.5"/>
    <row r="12547" s="96" customFormat="true" ht="13.5"/>
    <row r="12548" s="96" customFormat="true" ht="13.5"/>
    <row r="12549" s="96" customFormat="true" ht="13.5"/>
    <row r="12550" s="96" customFormat="true" ht="13.5"/>
    <row r="12551" s="96" customFormat="true" ht="13.5"/>
    <row r="12552" s="96" customFormat="true" ht="13.5"/>
    <row r="12553" s="96" customFormat="true" ht="13.5"/>
    <row r="12554" s="96" customFormat="true" ht="13.5"/>
    <row r="12555" s="96" customFormat="true" ht="13.5"/>
    <row r="12556" s="96" customFormat="true" ht="13.5"/>
    <row r="12557" s="96" customFormat="true" ht="13.5"/>
    <row r="12558" s="96" customFormat="true" ht="13.5"/>
    <row r="12559" s="96" customFormat="true" ht="13.5"/>
    <row r="12560" s="96" customFormat="true" ht="13.5"/>
    <row r="12561" s="96" customFormat="true" ht="13.5"/>
    <row r="12562" s="96" customFormat="true" ht="13.5"/>
    <row r="12563" s="96" customFormat="true" ht="13.5"/>
    <row r="12564" s="96" customFormat="true" ht="13.5"/>
    <row r="12565" s="96" customFormat="true" ht="13.5"/>
    <row r="12566" s="96" customFormat="true" ht="13.5"/>
    <row r="12567" s="96" customFormat="true" ht="13.5"/>
    <row r="12568" s="96" customFormat="true" ht="13.5"/>
    <row r="12569" s="96" customFormat="true" ht="13.5"/>
    <row r="12570" s="96" customFormat="true" ht="13.5"/>
    <row r="12571" s="96" customFormat="true" ht="13.5"/>
    <row r="12572" s="96" customFormat="true" ht="13.5"/>
    <row r="12573" s="96" customFormat="true" ht="13.5"/>
    <row r="12574" s="96" customFormat="true" ht="13.5"/>
    <row r="12575" s="96" customFormat="true" ht="13.5"/>
    <row r="12576" s="96" customFormat="true" ht="13.5"/>
    <row r="12577" s="96" customFormat="true" ht="13.5"/>
    <row r="12578" s="96" customFormat="true" ht="13.5"/>
    <row r="12579" s="96" customFormat="true" ht="13.5"/>
    <row r="12580" s="96" customFormat="true" ht="13.5"/>
    <row r="12581" s="96" customFormat="true" ht="13.5"/>
    <row r="12582" s="96" customFormat="true" ht="13.5"/>
    <row r="12583" s="96" customFormat="true" ht="13.5"/>
    <row r="12584" s="96" customFormat="true" ht="13.5"/>
    <row r="12585" s="96" customFormat="true" ht="13.5"/>
    <row r="12586" s="96" customFormat="true" ht="13.5"/>
    <row r="12587" s="96" customFormat="true" ht="13.5"/>
    <row r="12588" s="96" customFormat="true" ht="13.5"/>
    <row r="12589" s="96" customFormat="true" ht="13.5"/>
    <row r="12590" s="96" customFormat="true" ht="13.5"/>
    <row r="12591" s="96" customFormat="true" ht="13.5"/>
    <row r="12592" s="96" customFormat="true" ht="13.5"/>
    <row r="12593" s="96" customFormat="true" ht="13.5"/>
    <row r="12594" s="96" customFormat="true" ht="13.5"/>
    <row r="12595" s="96" customFormat="true" ht="13.5"/>
    <row r="12596" s="96" customFormat="true" ht="13.5"/>
    <row r="12597" s="96" customFormat="true" ht="13.5"/>
    <row r="12598" s="96" customFormat="true" ht="13.5"/>
    <row r="12599" s="96" customFormat="true" ht="13.5"/>
    <row r="12600" s="96" customFormat="true" ht="13.5"/>
    <row r="12601" s="96" customFormat="true" ht="13.5"/>
    <row r="12602" s="96" customFormat="true" ht="13.5"/>
    <row r="12603" s="96" customFormat="true" ht="13.5"/>
    <row r="12604" s="96" customFormat="true" ht="13.5"/>
    <row r="12605" s="96" customFormat="true" ht="13.5"/>
    <row r="12606" s="96" customFormat="true" ht="13.5"/>
    <row r="12607" s="96" customFormat="true" ht="13.5"/>
    <row r="12608" s="96" customFormat="true" ht="13.5"/>
    <row r="12609" s="96" customFormat="true" ht="13.5"/>
    <row r="12610" s="96" customFormat="true" ht="13.5"/>
    <row r="12611" s="96" customFormat="true" ht="13.5"/>
    <row r="12612" s="96" customFormat="true" ht="13.5"/>
    <row r="12613" s="96" customFormat="true" ht="13.5"/>
    <row r="12614" s="96" customFormat="true" ht="13.5"/>
    <row r="12615" s="96" customFormat="true" ht="13.5"/>
    <row r="12616" s="96" customFormat="true" ht="13.5"/>
    <row r="12617" s="96" customFormat="true" ht="13.5"/>
    <row r="12618" s="96" customFormat="true" ht="13.5"/>
    <row r="12619" s="96" customFormat="true" ht="13.5"/>
    <row r="12620" s="96" customFormat="true" ht="13.5"/>
    <row r="12621" s="96" customFormat="true" ht="13.5"/>
    <row r="12622" s="96" customFormat="true" ht="13.5"/>
    <row r="12623" s="96" customFormat="true" ht="13.5"/>
    <row r="12624" s="96" customFormat="true" ht="13.5"/>
    <row r="12625" s="96" customFormat="true" ht="13.5"/>
    <row r="12626" s="96" customFormat="true" ht="13.5"/>
    <row r="12627" s="96" customFormat="true" ht="13.5"/>
    <row r="12628" s="96" customFormat="true" ht="13.5"/>
    <row r="12629" s="96" customFormat="true" ht="13.5"/>
    <row r="12630" s="96" customFormat="true" ht="13.5"/>
    <row r="12631" s="96" customFormat="true" ht="13.5"/>
    <row r="12632" s="96" customFormat="true" ht="13.5"/>
    <row r="12633" s="96" customFormat="true" ht="13.5"/>
    <row r="12634" s="96" customFormat="true" ht="13.5"/>
    <row r="12635" s="96" customFormat="true" ht="13.5"/>
    <row r="12636" s="96" customFormat="true" ht="13.5"/>
    <row r="12637" s="96" customFormat="true" ht="13.5"/>
    <row r="12638" s="96" customFormat="true" ht="13.5"/>
    <row r="12639" s="96" customFormat="true" ht="13.5"/>
    <row r="12640" s="96" customFormat="true" ht="13.5"/>
    <row r="12641" s="96" customFormat="true" ht="13.5"/>
    <row r="12642" s="96" customFormat="true" ht="13.5"/>
    <row r="12643" s="96" customFormat="true" ht="13.5"/>
    <row r="12644" s="96" customFormat="true" ht="13.5"/>
    <row r="12645" s="96" customFormat="true" ht="13.5"/>
    <row r="12646" s="96" customFormat="true" ht="13.5"/>
    <row r="12647" s="96" customFormat="true" ht="13.5"/>
    <row r="12648" s="96" customFormat="true" ht="13.5"/>
    <row r="12649" s="96" customFormat="true" ht="13.5"/>
    <row r="12650" s="96" customFormat="true" ht="13.5"/>
    <row r="12651" s="96" customFormat="true" ht="13.5"/>
    <row r="12652" s="96" customFormat="true" ht="13.5"/>
    <row r="12653" s="96" customFormat="true" ht="13.5"/>
    <row r="12654" s="96" customFormat="true" ht="13.5"/>
    <row r="12655" s="96" customFormat="true" ht="13.5"/>
    <row r="12656" s="96" customFormat="true" ht="13.5"/>
    <row r="12657" s="96" customFormat="true" ht="13.5"/>
    <row r="12658" s="96" customFormat="true" ht="13.5"/>
    <row r="12659" s="96" customFormat="true" ht="13.5"/>
    <row r="12660" s="96" customFormat="true" ht="13.5"/>
    <row r="12661" s="96" customFormat="true" ht="13.5"/>
    <row r="12662" s="96" customFormat="true" ht="13.5"/>
    <row r="12663" s="96" customFormat="true" ht="13.5"/>
    <row r="12664" s="96" customFormat="true" ht="13.5"/>
    <row r="12665" s="96" customFormat="true" ht="13.5"/>
    <row r="12666" s="96" customFormat="true" ht="13.5"/>
    <row r="12667" s="96" customFormat="true" ht="13.5"/>
    <row r="12668" s="96" customFormat="true" ht="13.5"/>
    <row r="12669" s="96" customFormat="true" ht="13.5"/>
    <row r="12670" s="96" customFormat="true" ht="13.5"/>
    <row r="12671" s="96" customFormat="true" ht="13.5"/>
    <row r="12672" s="96" customFormat="true" ht="13.5"/>
    <row r="12673" s="96" customFormat="true" ht="13.5"/>
    <row r="12674" s="96" customFormat="true" ht="13.5"/>
    <row r="12675" s="96" customFormat="true" ht="13.5"/>
    <row r="12676" s="96" customFormat="true" ht="13.5"/>
    <row r="12677" s="96" customFormat="true" ht="13.5"/>
    <row r="12678" s="96" customFormat="true" ht="13.5"/>
    <row r="12679" s="96" customFormat="true" ht="13.5"/>
    <row r="12680" s="96" customFormat="true" ht="13.5"/>
    <row r="12681" s="96" customFormat="true" ht="13.5"/>
    <row r="12682" s="96" customFormat="true" ht="13.5"/>
    <row r="12683" s="96" customFormat="true" ht="13.5"/>
    <row r="12684" s="96" customFormat="true" ht="13.5"/>
    <row r="12685" s="96" customFormat="true" ht="13.5"/>
    <row r="12686" s="96" customFormat="true" ht="13.5"/>
    <row r="12687" s="96" customFormat="true" ht="13.5"/>
    <row r="12688" s="96" customFormat="true" ht="13.5"/>
    <row r="12689" s="96" customFormat="true" ht="13.5"/>
    <row r="12690" s="96" customFormat="true" ht="13.5"/>
    <row r="12691" s="96" customFormat="true" ht="13.5"/>
    <row r="12692" s="96" customFormat="true" ht="13.5"/>
    <row r="12693" s="96" customFormat="true" ht="13.5"/>
    <row r="12694" s="96" customFormat="true" ht="13.5"/>
    <row r="12695" s="96" customFormat="true" ht="13.5"/>
    <row r="12696" s="96" customFormat="true" ht="13.5"/>
    <row r="12697" s="96" customFormat="true" ht="13.5"/>
    <row r="12698" s="96" customFormat="true" ht="13.5"/>
    <row r="12699" s="96" customFormat="true" ht="13.5"/>
    <row r="12700" s="96" customFormat="true" ht="13.5"/>
    <row r="12701" s="96" customFormat="true" ht="13.5"/>
    <row r="12702" s="96" customFormat="true" ht="13.5"/>
    <row r="12703" s="96" customFormat="true" ht="13.5"/>
    <row r="12704" s="96" customFormat="true" ht="13.5"/>
    <row r="12705" s="96" customFormat="true" ht="13.5"/>
    <row r="12706" s="96" customFormat="true" ht="13.5"/>
    <row r="12707" s="96" customFormat="true" ht="13.5"/>
    <row r="12708" s="96" customFormat="true" ht="13.5"/>
    <row r="12709" s="96" customFormat="true" ht="13.5"/>
    <row r="12710" s="96" customFormat="true" ht="13.5"/>
    <row r="12711" s="96" customFormat="true" ht="13.5"/>
    <row r="12712" s="96" customFormat="true" ht="13.5"/>
    <row r="12713" s="96" customFormat="true" ht="13.5"/>
    <row r="12714" s="96" customFormat="true" ht="13.5"/>
    <row r="12715" s="96" customFormat="true" ht="13.5"/>
    <row r="12716" s="96" customFormat="true" ht="13.5"/>
    <row r="12717" s="96" customFormat="true" ht="13.5"/>
    <row r="12718" s="96" customFormat="true" ht="13.5"/>
    <row r="12719" s="96" customFormat="true" ht="13.5"/>
    <row r="12720" s="96" customFormat="true" ht="13.5"/>
    <row r="12721" s="96" customFormat="true" ht="13.5"/>
    <row r="12722" s="96" customFormat="true" ht="13.5"/>
    <row r="12723" s="96" customFormat="true" ht="13.5"/>
    <row r="12724" s="96" customFormat="true" ht="13.5"/>
    <row r="12725" s="96" customFormat="true" ht="13.5"/>
    <row r="12726" s="96" customFormat="true" ht="13.5"/>
    <row r="12727" s="96" customFormat="true" ht="13.5"/>
    <row r="12728" s="96" customFormat="true" ht="13.5"/>
    <row r="12729" s="96" customFormat="true" ht="13.5"/>
    <row r="12730" s="96" customFormat="true" ht="13.5"/>
    <row r="12731" s="96" customFormat="true" ht="13.5"/>
    <row r="12732" s="96" customFormat="true" ht="13.5"/>
    <row r="12733" s="96" customFormat="true" ht="13.5"/>
    <row r="12734" s="96" customFormat="true" ht="13.5"/>
    <row r="12735" s="96" customFormat="true" ht="13.5"/>
    <row r="12736" s="96" customFormat="true" ht="13.5"/>
    <row r="12737" s="96" customFormat="true" ht="13.5"/>
    <row r="12738" s="96" customFormat="true" ht="13.5"/>
    <row r="12739" s="96" customFormat="true" ht="13.5"/>
    <row r="12740" s="96" customFormat="true" ht="13.5"/>
    <row r="12741" s="96" customFormat="true" ht="13.5"/>
    <row r="12742" s="96" customFormat="true" ht="13.5"/>
    <row r="12743" s="96" customFormat="true" ht="13.5"/>
    <row r="12744" s="96" customFormat="true" ht="13.5"/>
    <row r="12745" s="96" customFormat="true" ht="13.5"/>
    <row r="12746" s="96" customFormat="true" ht="13.5"/>
    <row r="12747" s="96" customFormat="true" ht="13.5"/>
    <row r="12748" s="96" customFormat="true" ht="13.5"/>
    <row r="12749" s="96" customFormat="true" ht="13.5"/>
    <row r="12750" s="96" customFormat="true" ht="13.5"/>
    <row r="12751" s="96" customFormat="true" ht="13.5"/>
    <row r="12752" s="96" customFormat="true" ht="13.5"/>
    <row r="12753" s="96" customFormat="true" ht="13.5"/>
    <row r="12754" s="96" customFormat="true" ht="13.5"/>
    <row r="12755" s="96" customFormat="true" ht="13.5"/>
    <row r="12756" s="96" customFormat="true" ht="13.5"/>
    <row r="12757" s="96" customFormat="true" ht="13.5"/>
    <row r="12758" s="96" customFormat="true" ht="13.5"/>
    <row r="12759" s="96" customFormat="true" ht="13.5"/>
    <row r="12760" s="96" customFormat="true" ht="13.5"/>
    <row r="12761" s="96" customFormat="true" ht="13.5"/>
    <row r="12762" s="96" customFormat="true" ht="13.5"/>
    <row r="12763" s="96" customFormat="true" ht="13.5"/>
    <row r="12764" s="96" customFormat="true" ht="13.5"/>
    <row r="12765" s="96" customFormat="true" ht="13.5"/>
    <row r="12766" s="96" customFormat="true" ht="13.5"/>
    <row r="12767" s="96" customFormat="true" ht="13.5"/>
    <row r="12768" s="96" customFormat="true" ht="13.5"/>
    <row r="12769" s="96" customFormat="true" ht="13.5"/>
    <row r="12770" s="96" customFormat="true" ht="13.5"/>
    <row r="12771" s="96" customFormat="true" ht="13.5"/>
    <row r="12772" s="96" customFormat="true" ht="13.5"/>
    <row r="12773" s="96" customFormat="true" ht="13.5"/>
    <row r="12774" s="96" customFormat="true" ht="13.5"/>
    <row r="12775" s="96" customFormat="true" ht="13.5"/>
    <row r="12776" s="96" customFormat="true" ht="13.5"/>
    <row r="12777" s="96" customFormat="true" ht="13.5"/>
    <row r="12778" s="96" customFormat="true" ht="13.5"/>
    <row r="12779" s="96" customFormat="true" ht="13.5"/>
    <row r="12780" s="96" customFormat="true" ht="13.5"/>
    <row r="12781" s="96" customFormat="true" ht="13.5"/>
    <row r="12782" s="96" customFormat="true" ht="13.5"/>
    <row r="12783" s="96" customFormat="true" ht="13.5"/>
    <row r="12784" s="96" customFormat="true" ht="13.5"/>
    <row r="12785" s="96" customFormat="true" ht="13.5"/>
    <row r="12786" s="96" customFormat="true" ht="13.5"/>
    <row r="12787" s="96" customFormat="true" ht="13.5"/>
    <row r="12788" s="96" customFormat="true" ht="13.5"/>
    <row r="12789" s="96" customFormat="true" ht="13.5"/>
    <row r="12790" s="96" customFormat="true" ht="13.5"/>
    <row r="12791" s="96" customFormat="true" ht="13.5"/>
    <row r="12792" s="96" customFormat="true" ht="13.5"/>
    <row r="12793" s="96" customFormat="true" ht="13.5"/>
    <row r="12794" s="96" customFormat="true" ht="13.5"/>
    <row r="12795" s="96" customFormat="true" ht="13.5"/>
    <row r="12796" s="96" customFormat="true" ht="13.5"/>
    <row r="12797" s="96" customFormat="true" ht="13.5"/>
    <row r="12798" s="96" customFormat="true" ht="13.5"/>
    <row r="12799" s="96" customFormat="true" ht="13.5"/>
    <row r="12800" s="96" customFormat="true" ht="13.5"/>
    <row r="12801" s="96" customFormat="true" ht="13.5"/>
    <row r="12802" s="96" customFormat="true" ht="13.5"/>
    <row r="12803" s="96" customFormat="true" ht="13.5"/>
    <row r="12804" s="96" customFormat="true" ht="13.5"/>
    <row r="12805" s="96" customFormat="true" ht="13.5"/>
    <row r="12806" s="96" customFormat="true" ht="13.5"/>
    <row r="12807" s="96" customFormat="true" ht="13.5"/>
    <row r="12808" s="96" customFormat="true" ht="13.5"/>
    <row r="12809" s="96" customFormat="true" ht="13.5"/>
    <row r="12810" s="96" customFormat="true" ht="13.5"/>
    <row r="12811" s="96" customFormat="true" ht="13.5"/>
    <row r="12812" s="96" customFormat="true" ht="13.5"/>
    <row r="12813" s="96" customFormat="true" ht="13.5"/>
    <row r="12814" s="96" customFormat="true" ht="13.5"/>
    <row r="12815" s="96" customFormat="true" ht="13.5"/>
    <row r="12816" s="96" customFormat="true" ht="13.5"/>
    <row r="12817" s="96" customFormat="true" ht="13.5"/>
    <row r="12818" s="96" customFormat="true" ht="13.5"/>
    <row r="12819" s="96" customFormat="true" ht="13.5"/>
    <row r="12820" s="96" customFormat="true" ht="13.5"/>
    <row r="12821" s="96" customFormat="true" ht="13.5"/>
    <row r="12822" s="96" customFormat="true" ht="13.5"/>
    <row r="12823" s="96" customFormat="true" ht="13.5"/>
    <row r="12824" s="96" customFormat="true" ht="13.5"/>
    <row r="12825" s="96" customFormat="true" ht="13.5"/>
    <row r="12826" s="96" customFormat="true" ht="13.5"/>
    <row r="12827" s="96" customFormat="true" ht="13.5"/>
    <row r="12828" s="96" customFormat="true" ht="13.5"/>
    <row r="12829" s="96" customFormat="true" ht="13.5"/>
    <row r="12830" s="96" customFormat="true" ht="13.5"/>
    <row r="12831" s="96" customFormat="true" ht="13.5"/>
    <row r="12832" s="96" customFormat="true" ht="13.5"/>
    <row r="12833" s="96" customFormat="true" ht="13.5"/>
    <row r="12834" s="96" customFormat="true" ht="13.5"/>
    <row r="12835" s="96" customFormat="true" ht="13.5"/>
    <row r="12836" s="96" customFormat="true" ht="13.5"/>
    <row r="12837" s="96" customFormat="true" ht="13.5"/>
    <row r="12838" s="96" customFormat="true" ht="13.5"/>
    <row r="12839" s="96" customFormat="true" ht="13.5"/>
    <row r="12840" s="96" customFormat="true" ht="13.5"/>
    <row r="12841" s="96" customFormat="true" ht="13.5"/>
    <row r="12842" s="96" customFormat="true" ht="13.5"/>
    <row r="12843" s="96" customFormat="true" ht="13.5"/>
    <row r="12844" s="96" customFormat="true" ht="13.5"/>
    <row r="12845" s="96" customFormat="true" ht="13.5"/>
    <row r="12846" s="96" customFormat="true" ht="13.5"/>
    <row r="12847" s="96" customFormat="true" ht="13.5"/>
    <row r="12848" s="96" customFormat="true" ht="13.5"/>
    <row r="12849" s="96" customFormat="true" ht="13.5"/>
    <row r="12850" s="96" customFormat="true" ht="13.5"/>
    <row r="12851" s="96" customFormat="true" ht="13.5"/>
    <row r="12852" s="96" customFormat="true" ht="13.5"/>
    <row r="12853" s="96" customFormat="true" ht="13.5"/>
    <row r="12854" s="96" customFormat="true" ht="13.5"/>
    <row r="12855" s="96" customFormat="true" ht="13.5"/>
    <row r="12856" s="96" customFormat="true" ht="13.5"/>
    <row r="12857" s="96" customFormat="true" ht="13.5"/>
    <row r="12858" s="96" customFormat="true" ht="13.5"/>
    <row r="12859" s="96" customFormat="true" ht="13.5"/>
    <row r="12860" s="96" customFormat="true" ht="13.5"/>
    <row r="12861" s="96" customFormat="true" ht="13.5"/>
    <row r="12862" s="96" customFormat="true" ht="13.5"/>
    <row r="12863" s="96" customFormat="true" ht="13.5"/>
    <row r="12864" s="96" customFormat="true" ht="13.5"/>
    <row r="12865" s="96" customFormat="true" ht="13.5"/>
    <row r="12866" s="96" customFormat="true" ht="13.5"/>
    <row r="12867" s="96" customFormat="true" ht="13.5"/>
    <row r="12868" s="96" customFormat="true" ht="13.5"/>
    <row r="12869" s="96" customFormat="true" ht="13.5"/>
    <row r="12870" s="96" customFormat="true" ht="13.5"/>
    <row r="12871" s="96" customFormat="true" ht="13.5"/>
    <row r="12872" s="96" customFormat="true" ht="13.5"/>
    <row r="12873" s="96" customFormat="true" ht="13.5"/>
    <row r="12874" s="96" customFormat="true" ht="13.5"/>
    <row r="12875" s="96" customFormat="true" ht="13.5"/>
    <row r="12876" s="96" customFormat="true" ht="13.5"/>
    <row r="12877" s="96" customFormat="true" ht="13.5"/>
    <row r="12878" s="96" customFormat="true" ht="13.5"/>
    <row r="12879" s="96" customFormat="true" ht="13.5"/>
    <row r="12880" s="96" customFormat="true" ht="13.5"/>
    <row r="12881" s="96" customFormat="true" ht="13.5"/>
    <row r="12882" s="96" customFormat="true" ht="13.5"/>
    <row r="12883" s="96" customFormat="true" ht="13.5"/>
    <row r="12884" s="96" customFormat="true" ht="13.5"/>
    <row r="12885" s="96" customFormat="true" ht="13.5"/>
    <row r="12886" s="96" customFormat="true" ht="13.5"/>
    <row r="12887" s="96" customFormat="true" ht="13.5"/>
    <row r="12888" s="96" customFormat="true" ht="13.5"/>
    <row r="12889" s="96" customFormat="true" ht="13.5"/>
    <row r="12890" s="96" customFormat="true" ht="13.5"/>
    <row r="12891" s="96" customFormat="true" ht="13.5"/>
    <row r="12892" s="96" customFormat="true" ht="13.5"/>
    <row r="12893" s="96" customFormat="true" ht="13.5"/>
    <row r="12894" s="96" customFormat="true" ht="13.5"/>
    <row r="12895" s="96" customFormat="true" ht="13.5"/>
    <row r="12896" s="96" customFormat="true" ht="13.5"/>
    <row r="12897" s="96" customFormat="true" ht="13.5"/>
    <row r="12898" s="96" customFormat="true" ht="13.5"/>
    <row r="12899" s="96" customFormat="true" ht="13.5"/>
    <row r="12900" s="96" customFormat="true" ht="13.5"/>
    <row r="12901" s="96" customFormat="true" ht="13.5"/>
    <row r="12902" s="96" customFormat="true" ht="13.5"/>
    <row r="12903" s="96" customFormat="true" ht="13.5"/>
    <row r="12904" s="96" customFormat="true" ht="13.5"/>
    <row r="12905" s="96" customFormat="true" ht="13.5"/>
    <row r="12906" s="96" customFormat="true" ht="13.5"/>
    <row r="12907" s="96" customFormat="true" ht="13.5"/>
    <row r="12908" s="96" customFormat="true" ht="13.5"/>
    <row r="12909" s="96" customFormat="true" ht="13.5"/>
    <row r="12910" s="96" customFormat="true" ht="13.5"/>
    <row r="12911" s="96" customFormat="true" ht="13.5"/>
    <row r="12912" s="96" customFormat="true" ht="13.5"/>
    <row r="12913" s="96" customFormat="true" ht="13.5"/>
    <row r="12914" s="96" customFormat="true" ht="13.5"/>
    <row r="12915" s="96" customFormat="true" ht="13.5"/>
    <row r="12916" s="96" customFormat="true" ht="13.5"/>
    <row r="12917" s="96" customFormat="true" ht="13.5"/>
    <row r="12918" s="96" customFormat="true" ht="13.5"/>
    <row r="12919" s="96" customFormat="true" ht="13.5"/>
    <row r="12920" s="96" customFormat="true" ht="13.5"/>
    <row r="12921" s="96" customFormat="true" ht="13.5"/>
    <row r="12922" s="96" customFormat="true" ht="13.5"/>
    <row r="12923" s="96" customFormat="true" ht="13.5"/>
    <row r="12924" s="96" customFormat="true" ht="13.5"/>
    <row r="12925" s="96" customFormat="true" ht="13.5"/>
    <row r="12926" s="96" customFormat="true" ht="13.5"/>
    <row r="12927" s="96" customFormat="true" ht="13.5"/>
    <row r="12928" s="96" customFormat="true" ht="13.5"/>
    <row r="12929" s="96" customFormat="true" ht="13.5"/>
    <row r="12930" s="96" customFormat="true" ht="13.5"/>
    <row r="12931" s="96" customFormat="true" ht="13.5"/>
    <row r="12932" s="96" customFormat="true" ht="13.5"/>
    <row r="12933" s="96" customFormat="true" ht="13.5"/>
    <row r="12934" s="96" customFormat="true" ht="13.5"/>
    <row r="12935" s="96" customFormat="true" ht="13.5"/>
    <row r="12936" s="96" customFormat="true" ht="13.5"/>
    <row r="12937" s="96" customFormat="true" ht="13.5"/>
    <row r="12938" s="96" customFormat="true" ht="13.5"/>
    <row r="12939" s="96" customFormat="true" ht="13.5"/>
    <row r="12940" s="96" customFormat="true" ht="13.5"/>
    <row r="12941" s="96" customFormat="true" ht="13.5"/>
    <row r="12942" s="96" customFormat="true" ht="13.5"/>
    <row r="12943" s="96" customFormat="true" ht="13.5"/>
    <row r="12944" s="96" customFormat="true" ht="13.5"/>
    <row r="12945" s="96" customFormat="true" ht="13.5"/>
    <row r="12946" s="96" customFormat="true" ht="13.5"/>
    <row r="12947" s="96" customFormat="true" ht="13.5"/>
    <row r="12948" s="96" customFormat="true" ht="13.5"/>
    <row r="12949" s="96" customFormat="true" ht="13.5"/>
    <row r="12950" s="96" customFormat="true" ht="13.5"/>
    <row r="12951" s="96" customFormat="true" ht="13.5"/>
    <row r="12952" s="96" customFormat="true" ht="13.5"/>
    <row r="12953" s="96" customFormat="true" ht="13.5"/>
    <row r="12954" s="96" customFormat="true" ht="13.5"/>
    <row r="12955" s="96" customFormat="true" ht="13.5"/>
    <row r="12956" s="96" customFormat="true" ht="13.5"/>
    <row r="12957" s="96" customFormat="true" ht="13.5"/>
    <row r="12958" s="96" customFormat="true" ht="13.5"/>
    <row r="12959" s="96" customFormat="true" ht="13.5"/>
    <row r="12960" s="96" customFormat="true" ht="13.5"/>
    <row r="12961" s="96" customFormat="true" ht="13.5"/>
    <row r="12962" s="96" customFormat="true" ht="13.5"/>
    <row r="12963" s="96" customFormat="true" ht="13.5"/>
    <row r="12964" s="96" customFormat="true" ht="13.5"/>
    <row r="12965" s="96" customFormat="true" ht="13.5"/>
    <row r="12966" s="96" customFormat="true" ht="13.5"/>
    <row r="12967" s="96" customFormat="true" ht="13.5"/>
    <row r="12968" s="96" customFormat="true" ht="13.5"/>
    <row r="12969" s="96" customFormat="true" ht="13.5"/>
    <row r="12970" s="96" customFormat="true" ht="13.5"/>
    <row r="12971" s="96" customFormat="true" ht="13.5"/>
    <row r="12972" s="96" customFormat="true" ht="13.5"/>
    <row r="12973" s="96" customFormat="true" ht="13.5"/>
    <row r="12974" s="96" customFormat="true" ht="13.5"/>
    <row r="12975" s="96" customFormat="true" ht="13.5"/>
    <row r="12976" s="96" customFormat="true" ht="13.5"/>
    <row r="12977" s="96" customFormat="true" ht="13.5"/>
    <row r="12978" s="96" customFormat="true" ht="13.5"/>
    <row r="12979" s="96" customFormat="true" ht="13.5"/>
    <row r="12980" s="96" customFormat="true" ht="13.5"/>
    <row r="12981" s="96" customFormat="true" ht="13.5"/>
    <row r="12982" s="96" customFormat="true" ht="13.5"/>
    <row r="12983" s="96" customFormat="true" ht="13.5"/>
    <row r="12984" s="96" customFormat="true" ht="13.5"/>
    <row r="12985" s="96" customFormat="true" ht="13.5"/>
    <row r="12986" s="96" customFormat="true" ht="13.5"/>
    <row r="12987" s="96" customFormat="true" ht="13.5"/>
    <row r="12988" s="96" customFormat="true" ht="13.5"/>
    <row r="12989" s="96" customFormat="true" ht="13.5"/>
    <row r="12990" s="96" customFormat="true" ht="13.5"/>
    <row r="12991" s="96" customFormat="true" ht="13.5"/>
    <row r="12992" s="96" customFormat="true" ht="13.5"/>
    <row r="12993" s="96" customFormat="true" ht="13.5"/>
    <row r="12994" s="96" customFormat="true" ht="13.5"/>
    <row r="12995" s="96" customFormat="true" ht="13.5"/>
    <row r="12996" s="96" customFormat="true" ht="13.5"/>
    <row r="12997" s="96" customFormat="true" ht="13.5"/>
    <row r="12998" s="96" customFormat="true" ht="13.5"/>
    <row r="12999" s="96" customFormat="true" ht="13.5"/>
    <row r="13000" s="96" customFormat="true" ht="13.5"/>
    <row r="13001" s="96" customFormat="true" ht="13.5"/>
    <row r="13002" s="96" customFormat="true" ht="13.5"/>
    <row r="13003" s="96" customFormat="true" ht="13.5"/>
    <row r="13004" s="96" customFormat="true" ht="13.5"/>
    <row r="13005" s="96" customFormat="true" ht="13.5"/>
    <row r="13006" s="96" customFormat="true" ht="13.5"/>
    <row r="13007" s="96" customFormat="true" ht="13.5"/>
    <row r="13008" s="96" customFormat="true" ht="13.5"/>
    <row r="13009" s="96" customFormat="true" ht="13.5"/>
    <row r="13010" s="96" customFormat="true" ht="13.5"/>
    <row r="13011" s="96" customFormat="true" ht="13.5"/>
    <row r="13012" s="96" customFormat="true" ht="13.5"/>
    <row r="13013" s="96" customFormat="true" ht="13.5"/>
    <row r="13014" s="96" customFormat="true" ht="13.5"/>
    <row r="13015" s="96" customFormat="true" ht="13.5"/>
    <row r="13016" s="96" customFormat="true" ht="13.5"/>
    <row r="13017" s="96" customFormat="true" ht="13.5"/>
    <row r="13018" s="96" customFormat="true" ht="13.5"/>
    <row r="13019" s="96" customFormat="true" ht="13.5"/>
    <row r="13020" s="96" customFormat="true" ht="13.5"/>
    <row r="13021" s="96" customFormat="true" ht="13.5"/>
    <row r="13022" s="96" customFormat="true" ht="13.5"/>
    <row r="13023" s="96" customFormat="true" ht="13.5"/>
    <row r="13024" s="96" customFormat="true" ht="13.5"/>
    <row r="13025" s="96" customFormat="true" ht="13.5"/>
    <row r="13026" s="96" customFormat="true" ht="13.5"/>
    <row r="13027" s="96" customFormat="true" ht="13.5"/>
    <row r="13028" s="96" customFormat="true" ht="13.5"/>
    <row r="13029" s="96" customFormat="true" ht="13.5"/>
    <row r="13030" s="96" customFormat="true" ht="13.5"/>
    <row r="13031" s="96" customFormat="true" ht="13.5"/>
    <row r="13032" s="96" customFormat="true" ht="13.5"/>
    <row r="13033" s="96" customFormat="true" ht="13.5"/>
    <row r="13034" s="96" customFormat="true" ht="13.5"/>
    <row r="13035" s="96" customFormat="true" ht="13.5"/>
    <row r="13036" s="96" customFormat="true" ht="13.5"/>
    <row r="13037" s="96" customFormat="true" ht="13.5"/>
    <row r="13038" s="96" customFormat="true" ht="13.5"/>
    <row r="13039" s="96" customFormat="true" ht="13.5"/>
    <row r="13040" s="96" customFormat="true" ht="13.5"/>
    <row r="13041" s="96" customFormat="true" ht="13.5"/>
    <row r="13042" s="96" customFormat="true" ht="13.5"/>
    <row r="13043" s="96" customFormat="true" ht="13.5"/>
    <row r="13044" s="96" customFormat="true" ht="13.5"/>
    <row r="13045" s="96" customFormat="true" ht="13.5"/>
    <row r="13046" s="96" customFormat="true" ht="13.5"/>
    <row r="13047" s="96" customFormat="true" ht="13.5"/>
    <row r="13048" s="96" customFormat="true" ht="13.5"/>
    <row r="13049" s="96" customFormat="true" ht="13.5"/>
    <row r="13050" s="96" customFormat="true" ht="13.5"/>
    <row r="13051" s="96" customFormat="true" ht="13.5"/>
    <row r="13052" s="96" customFormat="true" ht="13.5"/>
    <row r="13053" s="96" customFormat="true" ht="13.5"/>
    <row r="13054" s="96" customFormat="true" ht="13.5"/>
    <row r="13055" s="96" customFormat="true" ht="13.5"/>
    <row r="13056" s="96" customFormat="true" ht="13.5"/>
    <row r="13057" s="96" customFormat="true" ht="13.5"/>
    <row r="13058" s="96" customFormat="true" ht="13.5"/>
    <row r="13059" s="96" customFormat="true" ht="13.5"/>
    <row r="13060" s="96" customFormat="true" ht="13.5"/>
    <row r="13061" s="96" customFormat="true" ht="13.5"/>
    <row r="13062" s="96" customFormat="true" ht="13.5"/>
    <row r="13063" s="96" customFormat="true" ht="13.5"/>
    <row r="13064" s="96" customFormat="true" ht="13.5"/>
    <row r="13065" s="96" customFormat="true" ht="13.5"/>
    <row r="13066" s="96" customFormat="true" ht="13.5"/>
    <row r="13067" s="96" customFormat="true" ht="13.5"/>
    <row r="13068" s="96" customFormat="true" ht="13.5"/>
    <row r="13069" s="96" customFormat="true" ht="13.5"/>
    <row r="13070" s="96" customFormat="true" ht="13.5"/>
    <row r="13071" s="96" customFormat="true" ht="13.5"/>
    <row r="13072" s="96" customFormat="true" ht="13.5"/>
    <row r="13073" s="96" customFormat="true" ht="13.5"/>
    <row r="13074" s="96" customFormat="true" ht="13.5"/>
    <row r="13075" s="96" customFormat="true" ht="13.5"/>
    <row r="13076" s="96" customFormat="true" ht="13.5"/>
    <row r="13077" s="96" customFormat="true" ht="13.5"/>
    <row r="13078" s="96" customFormat="true" ht="13.5"/>
    <row r="13079" s="96" customFormat="true" ht="13.5"/>
    <row r="13080" s="96" customFormat="true" ht="13.5"/>
    <row r="13081" s="96" customFormat="true" ht="13.5"/>
    <row r="13082" s="96" customFormat="true" ht="13.5"/>
    <row r="13083" s="96" customFormat="true" ht="13.5"/>
    <row r="13084" s="96" customFormat="true" ht="13.5"/>
    <row r="13085" s="96" customFormat="true" ht="13.5"/>
    <row r="13086" s="96" customFormat="true" ht="13.5"/>
    <row r="13087" s="96" customFormat="true" ht="13.5"/>
    <row r="13088" s="96" customFormat="true" ht="13.5"/>
    <row r="13089" s="96" customFormat="true" ht="13.5"/>
    <row r="13090" s="96" customFormat="true" ht="13.5"/>
    <row r="13091" s="96" customFormat="true" ht="13.5"/>
    <row r="13092" s="96" customFormat="true" ht="13.5"/>
    <row r="13093" s="96" customFormat="true" ht="13.5"/>
    <row r="13094" s="96" customFormat="true" ht="13.5"/>
    <row r="13095" s="96" customFormat="true" ht="13.5"/>
    <row r="13096" s="96" customFormat="true" ht="13.5"/>
    <row r="13097" s="96" customFormat="true" ht="13.5"/>
    <row r="13098" s="96" customFormat="true" ht="13.5"/>
    <row r="13099" s="96" customFormat="true" ht="13.5"/>
    <row r="13100" s="96" customFormat="true" ht="13.5"/>
    <row r="13101" s="96" customFormat="true" ht="13.5"/>
    <row r="13102" s="96" customFormat="true" ht="13.5"/>
    <row r="13103" s="96" customFormat="true" ht="13.5"/>
    <row r="13104" s="96" customFormat="true" ht="13.5"/>
    <row r="13105" s="96" customFormat="true" ht="13.5"/>
    <row r="13106" s="96" customFormat="true" ht="13.5"/>
    <row r="13107" s="96" customFormat="true" ht="13.5"/>
    <row r="13108" s="96" customFormat="true" ht="13.5"/>
    <row r="13109" s="96" customFormat="true" ht="13.5"/>
    <row r="13110" s="96" customFormat="true" ht="13.5"/>
    <row r="13111" s="96" customFormat="true" ht="13.5"/>
    <row r="13112" s="96" customFormat="true" ht="13.5"/>
    <row r="13113" s="96" customFormat="true" ht="13.5"/>
    <row r="13114" s="96" customFormat="true" ht="13.5"/>
    <row r="13115" s="96" customFormat="true" ht="13.5"/>
    <row r="13116" s="96" customFormat="true" ht="13.5"/>
    <row r="13117" s="96" customFormat="true" ht="13.5"/>
    <row r="13118" s="96" customFormat="true" ht="13.5"/>
    <row r="13119" s="96" customFormat="true" ht="13.5"/>
    <row r="13120" s="96" customFormat="true" ht="13.5"/>
    <row r="13121" s="96" customFormat="true" ht="13.5"/>
    <row r="13122" s="96" customFormat="true" ht="13.5"/>
    <row r="13123" s="96" customFormat="true" ht="13.5"/>
    <row r="13124" s="96" customFormat="true" ht="13.5"/>
    <row r="13125" s="96" customFormat="true" ht="13.5"/>
    <row r="13126" s="96" customFormat="true" ht="13.5"/>
    <row r="13127" s="96" customFormat="true" ht="13.5"/>
    <row r="13128" s="96" customFormat="true" ht="13.5"/>
    <row r="13129" s="96" customFormat="true" ht="13.5"/>
    <row r="13130" s="96" customFormat="true" ht="13.5"/>
    <row r="13131" s="96" customFormat="true" ht="13.5"/>
    <row r="13132" s="96" customFormat="true" ht="13.5"/>
    <row r="13133" s="96" customFormat="true" ht="13.5"/>
    <row r="13134" s="96" customFormat="true" ht="13.5"/>
    <row r="13135" s="96" customFormat="true" ht="13.5"/>
    <row r="13136" s="96" customFormat="true" ht="13.5"/>
    <row r="13137" s="96" customFormat="true" ht="13.5"/>
    <row r="13138" s="96" customFormat="true" ht="13.5"/>
    <row r="13139" s="96" customFormat="true" ht="13.5"/>
    <row r="13140" s="96" customFormat="true" ht="13.5"/>
    <row r="13141" s="96" customFormat="true" ht="13.5"/>
    <row r="13142" s="96" customFormat="true" ht="13.5"/>
    <row r="13143" s="96" customFormat="true" ht="13.5"/>
    <row r="13144" s="96" customFormat="true" ht="13.5"/>
    <row r="13145" s="96" customFormat="true" ht="13.5"/>
    <row r="13146" s="96" customFormat="true" ht="13.5"/>
    <row r="13147" s="96" customFormat="true" ht="13.5"/>
    <row r="13148" s="96" customFormat="true" ht="13.5"/>
    <row r="13149" s="96" customFormat="true" ht="13.5"/>
    <row r="13150" s="96" customFormat="true" ht="13.5"/>
    <row r="13151" s="96" customFormat="true" ht="13.5"/>
    <row r="13152" s="96" customFormat="true" ht="13.5"/>
    <row r="13153" s="96" customFormat="true" ht="13.5"/>
    <row r="13154" s="96" customFormat="true" ht="13.5"/>
    <row r="13155" s="96" customFormat="true" ht="13.5"/>
    <row r="13156" s="96" customFormat="true" ht="13.5"/>
    <row r="13157" s="96" customFormat="true" ht="13.5"/>
    <row r="13158" s="96" customFormat="true" ht="13.5"/>
    <row r="13159" s="96" customFormat="true" ht="13.5"/>
    <row r="13160" s="96" customFormat="true" ht="13.5"/>
    <row r="13161" s="96" customFormat="true" ht="13.5"/>
    <row r="13162" s="96" customFormat="true" ht="13.5"/>
    <row r="13163" s="96" customFormat="true" ht="13.5"/>
    <row r="13164" s="96" customFormat="true" ht="13.5"/>
    <row r="13165" s="96" customFormat="true" ht="13.5"/>
    <row r="13166" s="96" customFormat="true" ht="13.5"/>
    <row r="13167" s="96" customFormat="true" ht="13.5"/>
    <row r="13168" s="96" customFormat="true" ht="13.5"/>
    <row r="13169" s="96" customFormat="true" ht="13.5"/>
    <row r="13170" s="96" customFormat="true" ht="13.5"/>
    <row r="13171" s="96" customFormat="true" ht="13.5"/>
    <row r="13172" s="96" customFormat="true" ht="13.5"/>
    <row r="13173" s="96" customFormat="true" ht="13.5"/>
    <row r="13174" s="96" customFormat="true" ht="13.5"/>
    <row r="13175" s="96" customFormat="true" ht="13.5"/>
    <row r="13176" s="96" customFormat="true" ht="13.5"/>
    <row r="13177" s="96" customFormat="true" ht="13.5"/>
    <row r="13178" s="96" customFormat="true" ht="13.5"/>
    <row r="13179" s="96" customFormat="true" ht="13.5"/>
    <row r="13180" s="96" customFormat="true" ht="13.5"/>
    <row r="13181" s="96" customFormat="true" ht="13.5"/>
    <row r="13182" s="96" customFormat="true" ht="13.5"/>
    <row r="13183" s="96" customFormat="true" ht="13.5"/>
    <row r="13184" s="96" customFormat="true" ht="13.5"/>
    <row r="13185" s="96" customFormat="true" ht="13.5"/>
    <row r="13186" s="96" customFormat="true" ht="13.5"/>
    <row r="13187" s="96" customFormat="true" ht="13.5"/>
    <row r="13188" s="96" customFormat="true" ht="13.5"/>
    <row r="13189" s="96" customFormat="true" ht="13.5"/>
    <row r="13190" s="96" customFormat="true" ht="13.5"/>
    <row r="13191" s="96" customFormat="true" ht="13.5"/>
    <row r="13192" s="96" customFormat="true" ht="13.5"/>
    <row r="13193" s="96" customFormat="true" ht="13.5"/>
    <row r="13194" s="96" customFormat="true" ht="13.5"/>
    <row r="13195" s="96" customFormat="true" ht="13.5"/>
    <row r="13196" s="96" customFormat="true" ht="13.5"/>
    <row r="13197" s="96" customFormat="true" ht="13.5"/>
    <row r="13198" s="96" customFormat="true" ht="13.5"/>
    <row r="13199" s="96" customFormat="true" ht="13.5"/>
    <row r="13200" s="96" customFormat="true" ht="13.5"/>
    <row r="13201" s="96" customFormat="true" ht="13.5"/>
    <row r="13202" s="96" customFormat="true" ht="13.5"/>
    <row r="13203" s="96" customFormat="true" ht="13.5"/>
    <row r="13204" s="96" customFormat="true" ht="13.5"/>
    <row r="13205" s="96" customFormat="true" ht="13.5"/>
    <row r="13206" s="96" customFormat="true" ht="13.5"/>
    <row r="13207" s="96" customFormat="true" ht="13.5"/>
    <row r="13208" s="96" customFormat="true" ht="13.5"/>
    <row r="13209" s="96" customFormat="true" ht="13.5"/>
    <row r="13210" s="96" customFormat="true" ht="13.5"/>
    <row r="13211" s="96" customFormat="true" ht="13.5"/>
    <row r="13212" s="96" customFormat="true" ht="13.5"/>
    <row r="13213" s="96" customFormat="true" ht="13.5"/>
    <row r="13214" s="96" customFormat="true" ht="13.5"/>
    <row r="13215" s="96" customFormat="true" ht="13.5"/>
    <row r="13216" s="96" customFormat="true" ht="13.5"/>
    <row r="13217" s="96" customFormat="true" ht="13.5"/>
    <row r="13218" s="96" customFormat="true" ht="13.5"/>
    <row r="13219" s="96" customFormat="true" ht="13.5"/>
    <row r="13220" s="96" customFormat="true" ht="13.5"/>
    <row r="13221" s="96" customFormat="true" ht="13.5"/>
    <row r="13222" s="96" customFormat="true" ht="13.5"/>
    <row r="13223" s="96" customFormat="true" ht="13.5"/>
    <row r="13224" s="96" customFormat="true" ht="13.5"/>
    <row r="13225" s="96" customFormat="true" ht="13.5"/>
    <row r="13226" s="96" customFormat="true" ht="13.5"/>
    <row r="13227" s="96" customFormat="true" ht="13.5"/>
    <row r="13228" s="96" customFormat="true" ht="13.5"/>
    <row r="13229" s="96" customFormat="true" ht="13.5"/>
    <row r="13230" s="96" customFormat="true" ht="13.5"/>
    <row r="13231" s="96" customFormat="true" ht="13.5"/>
    <row r="13232" s="96" customFormat="true" ht="13.5"/>
    <row r="13233" s="96" customFormat="true" ht="13.5"/>
    <row r="13234" s="96" customFormat="true" ht="13.5"/>
    <row r="13235" s="96" customFormat="true" ht="13.5"/>
    <row r="13236" s="96" customFormat="true" ht="13.5"/>
    <row r="13237" s="96" customFormat="true" ht="13.5"/>
    <row r="13238" s="96" customFormat="true" ht="13.5"/>
    <row r="13239" s="96" customFormat="true" ht="13.5"/>
    <row r="13240" s="96" customFormat="true" ht="13.5"/>
    <row r="13241" s="96" customFormat="true" ht="13.5"/>
    <row r="13242" s="96" customFormat="true" ht="13.5"/>
    <row r="13243" s="96" customFormat="true" ht="13.5"/>
    <row r="13244" s="96" customFormat="true" ht="13.5"/>
    <row r="13245" s="96" customFormat="true" ht="13.5"/>
    <row r="13246" s="96" customFormat="true" ht="13.5"/>
    <row r="13247" s="96" customFormat="true" ht="13.5"/>
    <row r="13248" s="96" customFormat="true" ht="13.5"/>
    <row r="13249" s="96" customFormat="true" ht="13.5"/>
    <row r="13250" s="96" customFormat="true" ht="13.5"/>
    <row r="13251" s="96" customFormat="true" ht="13.5"/>
    <row r="13252" s="96" customFormat="true" ht="13.5"/>
    <row r="13253" s="96" customFormat="true" ht="13.5"/>
    <row r="13254" s="96" customFormat="true" ht="13.5"/>
    <row r="13255" s="96" customFormat="true" ht="13.5"/>
    <row r="13256" s="96" customFormat="true" ht="13.5"/>
    <row r="13257" s="96" customFormat="true" ht="13.5"/>
    <row r="13258" s="96" customFormat="true" ht="13.5"/>
    <row r="13259" s="96" customFormat="true" ht="13.5"/>
    <row r="13260" s="96" customFormat="true" ht="13.5"/>
    <row r="13261" s="96" customFormat="true" ht="13.5"/>
    <row r="13262" s="96" customFormat="true" ht="13.5"/>
    <row r="13263" s="96" customFormat="true" ht="13.5"/>
    <row r="13264" s="96" customFormat="true" ht="13.5"/>
    <row r="13265" s="96" customFormat="true" ht="13.5"/>
    <row r="13266" s="96" customFormat="true" ht="13.5"/>
    <row r="13267" s="96" customFormat="true" ht="13.5"/>
    <row r="13268" s="96" customFormat="true" ht="13.5"/>
    <row r="13269" s="96" customFormat="true" ht="13.5"/>
    <row r="13270" s="96" customFormat="true" ht="13.5"/>
    <row r="13271" s="96" customFormat="true" ht="13.5"/>
    <row r="13272" s="96" customFormat="true" ht="13.5"/>
    <row r="13273" s="96" customFormat="true" ht="13.5"/>
    <row r="13274" s="96" customFormat="true" ht="13.5"/>
    <row r="13275" s="96" customFormat="true" ht="13.5"/>
    <row r="13276" s="96" customFormat="true" ht="13.5"/>
    <row r="13277" s="96" customFormat="true" ht="13.5"/>
    <row r="13278" s="96" customFormat="true" ht="13.5"/>
    <row r="13279" s="96" customFormat="true" ht="13.5"/>
    <row r="13280" s="96" customFormat="true" ht="13.5"/>
    <row r="13281" s="96" customFormat="true" ht="13.5"/>
    <row r="13282" s="96" customFormat="true" ht="13.5"/>
    <row r="13283" s="96" customFormat="true" ht="13.5"/>
    <row r="13284" s="96" customFormat="true" ht="13.5"/>
    <row r="13285" s="96" customFormat="true" ht="13.5"/>
    <row r="13286" s="96" customFormat="true" ht="13.5"/>
    <row r="13287" s="96" customFormat="true" ht="13.5"/>
    <row r="13288" s="96" customFormat="true" ht="13.5"/>
    <row r="13289" s="96" customFormat="true" ht="13.5"/>
    <row r="13290" s="96" customFormat="true" ht="13.5"/>
    <row r="13291" s="96" customFormat="true" ht="13.5"/>
    <row r="13292" s="96" customFormat="true" ht="13.5"/>
    <row r="13293" s="96" customFormat="true" ht="13.5"/>
    <row r="13294" s="96" customFormat="true" ht="13.5"/>
    <row r="13295" s="96" customFormat="true" ht="13.5"/>
    <row r="13296" s="96" customFormat="true" ht="13.5"/>
    <row r="13297" s="96" customFormat="true" ht="13.5"/>
    <row r="13298" s="96" customFormat="true" ht="13.5"/>
    <row r="13299" s="96" customFormat="true" ht="13.5"/>
    <row r="13300" s="96" customFormat="true" ht="13.5"/>
    <row r="13301" s="96" customFormat="true" ht="13.5"/>
    <row r="13302" s="96" customFormat="true" ht="13.5"/>
    <row r="13303" s="96" customFormat="true" ht="13.5"/>
    <row r="13304" s="96" customFormat="true" ht="13.5"/>
    <row r="13305" s="96" customFormat="true" ht="13.5"/>
    <row r="13306" s="96" customFormat="true" ht="13.5"/>
    <row r="13307" s="96" customFormat="true" ht="13.5"/>
    <row r="13308" s="96" customFormat="true" ht="13.5"/>
    <row r="13309" s="96" customFormat="true" ht="13.5"/>
    <row r="13310" s="96" customFormat="true" ht="13.5"/>
    <row r="13311" s="96" customFormat="true" ht="13.5"/>
    <row r="13312" s="96" customFormat="true" ht="13.5"/>
    <row r="13313" s="96" customFormat="true" ht="13.5"/>
    <row r="13314" s="96" customFormat="true" ht="13.5"/>
    <row r="13315" s="96" customFormat="true" ht="13.5"/>
    <row r="13316" s="96" customFormat="true" ht="13.5"/>
    <row r="13317" s="96" customFormat="true" ht="13.5"/>
    <row r="13318" s="96" customFormat="true" ht="13.5"/>
    <row r="13319" s="96" customFormat="true" ht="13.5"/>
    <row r="13320" s="96" customFormat="true" ht="13.5"/>
    <row r="13321" s="96" customFormat="true" ht="13.5"/>
    <row r="13322" s="96" customFormat="true" ht="13.5"/>
    <row r="13323" s="96" customFormat="true" ht="13.5"/>
    <row r="13324" s="96" customFormat="true" ht="13.5"/>
    <row r="13325" s="96" customFormat="true" ht="13.5"/>
    <row r="13326" s="96" customFormat="true" ht="13.5"/>
    <row r="13327" s="96" customFormat="true" ht="13.5"/>
    <row r="13328" s="96" customFormat="true" ht="13.5"/>
    <row r="13329" s="96" customFormat="true" ht="13.5"/>
    <row r="13330" s="96" customFormat="true" ht="13.5"/>
    <row r="13331" s="96" customFormat="true" ht="13.5"/>
    <row r="13332" s="96" customFormat="true" ht="13.5"/>
    <row r="13333" s="96" customFormat="true" ht="13.5"/>
    <row r="13334" s="96" customFormat="true" ht="13.5"/>
    <row r="13335" s="96" customFormat="true" ht="13.5"/>
    <row r="13336" s="96" customFormat="true" ht="13.5"/>
    <row r="13337" s="96" customFormat="true" ht="13.5"/>
    <row r="13338" s="96" customFormat="true" ht="13.5"/>
    <row r="13339" s="96" customFormat="true" ht="13.5"/>
    <row r="13340" s="96" customFormat="true" ht="13.5"/>
    <row r="13341" s="96" customFormat="true" ht="13.5"/>
    <row r="13342" s="96" customFormat="true" ht="13.5"/>
    <row r="13343" s="96" customFormat="true" ht="13.5"/>
    <row r="13344" s="96" customFormat="true" ht="13.5"/>
    <row r="13345" s="96" customFormat="true" ht="13.5"/>
    <row r="13346" s="96" customFormat="true" ht="13.5"/>
    <row r="13347" s="96" customFormat="true" ht="13.5"/>
    <row r="13348" s="96" customFormat="true" ht="13.5"/>
    <row r="13349" s="96" customFormat="true" ht="13.5"/>
    <row r="13350" s="96" customFormat="true" ht="13.5"/>
    <row r="13351" s="96" customFormat="true" ht="13.5"/>
    <row r="13352" s="96" customFormat="true" ht="13.5"/>
    <row r="13353" s="96" customFormat="true" ht="13.5"/>
    <row r="13354" s="96" customFormat="true" ht="13.5"/>
    <row r="13355" s="96" customFormat="true" ht="13.5"/>
    <row r="13356" s="96" customFormat="true" ht="13.5"/>
    <row r="13357" s="96" customFormat="true" ht="13.5"/>
    <row r="13358" s="96" customFormat="true" ht="13.5"/>
    <row r="13359" s="96" customFormat="true" ht="13.5"/>
    <row r="13360" s="96" customFormat="true" ht="13.5"/>
    <row r="13361" s="96" customFormat="true" ht="13.5"/>
    <row r="13362" s="96" customFormat="true" ht="13.5"/>
    <row r="13363" s="96" customFormat="true" ht="13.5"/>
    <row r="13364" s="96" customFormat="true" ht="13.5"/>
    <row r="13365" s="96" customFormat="true" ht="13.5"/>
    <row r="13366" s="96" customFormat="true" ht="13.5"/>
    <row r="13367" s="96" customFormat="true" ht="13.5"/>
    <row r="13368" s="96" customFormat="true" ht="13.5"/>
    <row r="13369" s="96" customFormat="true" ht="13.5"/>
    <row r="13370" s="96" customFormat="true" ht="13.5"/>
    <row r="13371" s="96" customFormat="true" ht="13.5"/>
    <row r="13372" s="96" customFormat="true" ht="13.5"/>
    <row r="13373" s="96" customFormat="true" ht="13.5"/>
    <row r="13374" s="96" customFormat="true" ht="13.5"/>
    <row r="13375" s="96" customFormat="true" ht="13.5"/>
    <row r="13376" s="96" customFormat="true" ht="13.5"/>
    <row r="13377" s="96" customFormat="true" ht="13.5"/>
    <row r="13378" s="96" customFormat="true" ht="13.5"/>
    <row r="13379" s="96" customFormat="true" ht="13.5"/>
    <row r="13380" s="96" customFormat="true" ht="13.5"/>
    <row r="13381" s="96" customFormat="true" ht="13.5"/>
    <row r="13382" s="96" customFormat="true" ht="13.5"/>
    <row r="13383" s="96" customFormat="true" ht="13.5"/>
    <row r="13384" s="96" customFormat="true" ht="13.5"/>
    <row r="13385" s="96" customFormat="true" ht="13.5"/>
    <row r="13386" s="96" customFormat="true" ht="13.5"/>
    <row r="13387" s="96" customFormat="true" ht="13.5"/>
    <row r="13388" s="96" customFormat="true" ht="13.5"/>
    <row r="13389" s="96" customFormat="true" ht="13.5"/>
    <row r="13390" s="96" customFormat="true" ht="13.5"/>
    <row r="13391" s="96" customFormat="true" ht="13.5"/>
    <row r="13392" s="96" customFormat="true" ht="13.5"/>
    <row r="13393" s="96" customFormat="true" ht="13.5"/>
    <row r="13394" s="96" customFormat="true" ht="13.5"/>
    <row r="13395" s="96" customFormat="true" ht="13.5"/>
    <row r="13396" s="96" customFormat="true" ht="13.5"/>
    <row r="13397" s="96" customFormat="true" ht="13.5"/>
    <row r="13398" s="96" customFormat="true" ht="13.5"/>
    <row r="13399" s="96" customFormat="true" ht="13.5"/>
    <row r="13400" s="96" customFormat="true" ht="13.5"/>
    <row r="13401" s="96" customFormat="true" ht="13.5"/>
    <row r="13402" s="96" customFormat="true" ht="13.5"/>
    <row r="13403" s="96" customFormat="true" ht="13.5"/>
    <row r="13404" s="96" customFormat="true" ht="13.5"/>
    <row r="13405" s="96" customFormat="true" ht="13.5"/>
    <row r="13406" s="96" customFormat="true" ht="13.5"/>
    <row r="13407" s="96" customFormat="true" ht="13.5"/>
    <row r="13408" s="96" customFormat="true" ht="13.5"/>
    <row r="13409" s="96" customFormat="true" ht="13.5"/>
    <row r="13410" s="96" customFormat="true" ht="13.5"/>
    <row r="13411" s="96" customFormat="true" ht="13.5"/>
    <row r="13412" s="96" customFormat="true" ht="13.5"/>
    <row r="13413" s="96" customFormat="true" ht="13.5"/>
    <row r="13414" s="96" customFormat="true" ht="13.5"/>
    <row r="13415" s="96" customFormat="true" ht="13.5"/>
    <row r="13416" s="96" customFormat="true" ht="13.5"/>
    <row r="13417" s="96" customFormat="true" ht="13.5"/>
    <row r="13418" s="96" customFormat="true" ht="13.5"/>
    <row r="13419" s="96" customFormat="true" ht="13.5"/>
    <row r="13420" s="96" customFormat="true" ht="13.5"/>
    <row r="13421" s="96" customFormat="true" ht="13.5"/>
    <row r="13422" s="96" customFormat="true" ht="13.5"/>
    <row r="13423" s="96" customFormat="true" ht="13.5"/>
    <row r="13424" s="96" customFormat="true" ht="13.5"/>
    <row r="13425" s="96" customFormat="true" ht="13.5"/>
    <row r="13426" s="96" customFormat="true" ht="13.5"/>
    <row r="13427" s="96" customFormat="true" ht="13.5"/>
    <row r="13428" s="96" customFormat="true" ht="13.5"/>
    <row r="13429" s="96" customFormat="true" ht="13.5"/>
    <row r="13430" s="96" customFormat="true" ht="13.5"/>
    <row r="13431" s="96" customFormat="true" ht="13.5"/>
    <row r="13432" s="96" customFormat="true" ht="13.5"/>
    <row r="13433" s="96" customFormat="true" ht="13.5"/>
    <row r="13434" s="96" customFormat="true" ht="13.5"/>
    <row r="13435" s="96" customFormat="true" ht="13.5"/>
    <row r="13436" s="96" customFormat="true" ht="13.5"/>
    <row r="13437" s="96" customFormat="true" ht="13.5"/>
    <row r="13438" s="96" customFormat="true" ht="13.5"/>
    <row r="13439" s="96" customFormat="true" ht="13.5"/>
    <row r="13440" s="96" customFormat="true" ht="13.5"/>
    <row r="13441" s="96" customFormat="true" ht="13.5"/>
    <row r="13442" s="96" customFormat="true" ht="13.5"/>
    <row r="13443" s="96" customFormat="true" ht="13.5"/>
    <row r="13444" s="96" customFormat="true" ht="13.5"/>
    <row r="13445" s="96" customFormat="true" ht="13.5"/>
    <row r="13446" s="96" customFormat="true" ht="13.5"/>
    <row r="13447" s="96" customFormat="true" ht="13.5"/>
    <row r="13448" s="96" customFormat="true" ht="13.5"/>
    <row r="13449" s="96" customFormat="true" ht="13.5"/>
    <row r="13450" s="96" customFormat="true" ht="13.5"/>
    <row r="13451" s="96" customFormat="true" ht="13.5"/>
    <row r="13452" s="96" customFormat="true" ht="13.5"/>
    <row r="13453" s="96" customFormat="true" ht="13.5"/>
    <row r="13454" s="96" customFormat="true" ht="13.5"/>
    <row r="13455" s="96" customFormat="true" ht="13.5"/>
    <row r="13456" s="96" customFormat="true" ht="13.5"/>
    <row r="13457" s="96" customFormat="true" ht="13.5"/>
    <row r="13458" s="96" customFormat="true" ht="13.5"/>
    <row r="13459" s="96" customFormat="true" ht="13.5"/>
    <row r="13460" s="96" customFormat="true" ht="13.5"/>
    <row r="13461" s="96" customFormat="true" ht="13.5"/>
    <row r="13462" s="96" customFormat="true" ht="13.5"/>
    <row r="13463" s="96" customFormat="true" ht="13.5"/>
    <row r="13464" s="96" customFormat="true" ht="13.5"/>
    <row r="13465" s="96" customFormat="true" ht="13.5"/>
    <row r="13466" s="96" customFormat="true" ht="13.5"/>
    <row r="13467" s="96" customFormat="true" ht="13.5"/>
    <row r="13468" s="96" customFormat="true" ht="13.5"/>
    <row r="13469" s="96" customFormat="true" ht="13.5"/>
    <row r="13470" s="96" customFormat="true" ht="13.5"/>
    <row r="13471" s="96" customFormat="true" ht="13.5"/>
    <row r="13472" s="96" customFormat="true" ht="13.5"/>
    <row r="13473" s="96" customFormat="true" ht="13.5"/>
    <row r="13474" s="96" customFormat="true" ht="13.5"/>
    <row r="13475" s="96" customFormat="true" ht="13.5"/>
    <row r="13476" s="96" customFormat="true" ht="13.5"/>
    <row r="13477" s="96" customFormat="true" ht="13.5"/>
    <row r="13478" s="96" customFormat="true" ht="13.5"/>
    <row r="13479" s="96" customFormat="true" ht="13.5"/>
    <row r="13480" s="96" customFormat="true" ht="13.5"/>
    <row r="13481" s="96" customFormat="true" ht="13.5"/>
    <row r="13482" s="96" customFormat="true" ht="13.5"/>
    <row r="13483" s="96" customFormat="true" ht="13.5"/>
    <row r="13484" s="96" customFormat="true" ht="13.5"/>
    <row r="13485" s="96" customFormat="true" ht="13.5"/>
    <row r="13486" s="96" customFormat="true" ht="13.5"/>
    <row r="13487" s="96" customFormat="true" ht="13.5"/>
    <row r="13488" s="96" customFormat="true" ht="13.5"/>
    <row r="13489" s="96" customFormat="true" ht="13.5"/>
    <row r="13490" s="96" customFormat="true" ht="13.5"/>
    <row r="13491" s="96" customFormat="true" ht="13.5"/>
    <row r="13492" s="96" customFormat="true" ht="13.5"/>
    <row r="13493" s="96" customFormat="true" ht="13.5"/>
    <row r="13494" s="96" customFormat="true" ht="13.5"/>
    <row r="13495" s="96" customFormat="true" ht="13.5"/>
    <row r="13496" s="96" customFormat="true" ht="13.5"/>
    <row r="13497" s="96" customFormat="true" ht="13.5"/>
    <row r="13498" s="96" customFormat="true" ht="13.5"/>
    <row r="13499" s="96" customFormat="true" ht="13.5"/>
    <row r="13500" s="96" customFormat="true" ht="13.5"/>
    <row r="13501" s="96" customFormat="true" ht="13.5"/>
    <row r="13502" s="96" customFormat="true" ht="13.5"/>
    <row r="13503" s="96" customFormat="true" ht="13.5"/>
    <row r="13504" s="96" customFormat="true" ht="13.5"/>
    <row r="13505" s="96" customFormat="true" ht="13.5"/>
    <row r="13506" s="96" customFormat="true" ht="13.5"/>
    <row r="13507" s="96" customFormat="true" ht="13.5"/>
    <row r="13508" s="96" customFormat="true" ht="13.5"/>
    <row r="13509" s="96" customFormat="true" ht="13.5"/>
    <row r="13510" s="96" customFormat="true" ht="13.5"/>
    <row r="13511" s="96" customFormat="true" ht="13.5"/>
    <row r="13512" s="96" customFormat="true" ht="13.5"/>
    <row r="13513" s="96" customFormat="true" ht="13.5"/>
    <row r="13514" s="96" customFormat="true" ht="13.5"/>
    <row r="13515" s="96" customFormat="true" ht="13.5"/>
    <row r="13516" s="96" customFormat="true" ht="13.5"/>
    <row r="13517" s="96" customFormat="true" ht="13.5"/>
    <row r="13518" s="96" customFormat="true" ht="13.5"/>
    <row r="13519" s="96" customFormat="true" ht="13.5"/>
    <row r="13520" s="96" customFormat="true" ht="13.5"/>
    <row r="13521" s="96" customFormat="true" ht="13.5"/>
    <row r="13522" s="96" customFormat="true" ht="13.5"/>
    <row r="13523" s="96" customFormat="true" ht="13.5"/>
    <row r="13524" s="96" customFormat="true" ht="13.5"/>
    <row r="13525" s="96" customFormat="true" ht="13.5"/>
    <row r="13526" s="96" customFormat="true" ht="13.5"/>
    <row r="13527" s="96" customFormat="true" ht="13.5"/>
    <row r="13528" s="96" customFormat="true" ht="13.5"/>
    <row r="13529" s="96" customFormat="true" ht="13.5"/>
    <row r="13530" s="96" customFormat="true" ht="13.5"/>
    <row r="13531" s="96" customFormat="true" ht="13.5"/>
    <row r="13532" s="96" customFormat="true" ht="13.5"/>
    <row r="13533" s="96" customFormat="true" ht="13.5"/>
    <row r="13534" s="96" customFormat="true" ht="13.5"/>
    <row r="13535" s="96" customFormat="true" ht="13.5"/>
    <row r="13536" s="96" customFormat="true" ht="13.5"/>
    <row r="13537" s="96" customFormat="true" ht="13.5"/>
    <row r="13538" s="96" customFormat="true" ht="13.5"/>
    <row r="13539" s="96" customFormat="true" ht="13.5"/>
    <row r="13540" s="96" customFormat="true" ht="13.5"/>
    <row r="13541" s="96" customFormat="true" ht="13.5"/>
    <row r="13542" s="96" customFormat="true" ht="13.5"/>
    <row r="13543" s="96" customFormat="true" ht="13.5"/>
    <row r="13544" s="96" customFormat="true" ht="13.5"/>
    <row r="13545" s="96" customFormat="true" ht="13.5"/>
    <row r="13546" s="96" customFormat="true" ht="13.5"/>
    <row r="13547" s="96" customFormat="true" ht="13.5"/>
    <row r="13548" s="96" customFormat="true" ht="13.5"/>
    <row r="13549" s="96" customFormat="true" ht="13.5"/>
    <row r="13550" s="96" customFormat="true" ht="13.5"/>
    <row r="13551" s="96" customFormat="true" ht="13.5"/>
    <row r="13552" s="96" customFormat="true" ht="13.5"/>
    <row r="13553" s="96" customFormat="true" ht="13.5"/>
    <row r="13554" s="96" customFormat="true" ht="13.5"/>
    <row r="13555" s="96" customFormat="true" ht="13.5"/>
    <row r="13556" s="96" customFormat="true" ht="13.5"/>
    <row r="13557" s="96" customFormat="true" ht="13.5"/>
    <row r="13558" s="96" customFormat="true" ht="13.5"/>
    <row r="13559" s="96" customFormat="true" ht="13.5"/>
    <row r="13560" s="96" customFormat="true" ht="13.5"/>
    <row r="13561" s="96" customFormat="true" ht="13.5"/>
    <row r="13562" s="96" customFormat="true" ht="13.5"/>
    <row r="13563" s="96" customFormat="true" ht="13.5"/>
    <row r="13564" s="96" customFormat="true" ht="13.5"/>
    <row r="13565" s="96" customFormat="true" ht="13.5"/>
    <row r="13566" s="96" customFormat="true" ht="13.5"/>
    <row r="13567" s="96" customFormat="true" ht="13.5"/>
    <row r="13568" s="96" customFormat="true" ht="13.5"/>
    <row r="13569" s="96" customFormat="true" ht="13.5"/>
    <row r="13570" s="96" customFormat="true" ht="13.5"/>
    <row r="13571" s="96" customFormat="true" ht="13.5"/>
    <row r="13572" s="96" customFormat="true" ht="13.5"/>
    <row r="13573" s="96" customFormat="true" ht="13.5"/>
    <row r="13574" s="96" customFormat="true" ht="13.5"/>
    <row r="13575" s="96" customFormat="true" ht="13.5"/>
    <row r="13576" s="96" customFormat="true" ht="13.5"/>
    <row r="13577" s="96" customFormat="true" ht="13.5"/>
    <row r="13578" s="96" customFormat="true" ht="13.5"/>
    <row r="13579" s="96" customFormat="true" ht="13.5"/>
    <row r="13580" s="96" customFormat="true" ht="13.5"/>
    <row r="13581" s="96" customFormat="true" ht="13.5"/>
    <row r="13582" s="96" customFormat="true" ht="13.5"/>
    <row r="13583" s="96" customFormat="true" ht="13.5"/>
    <row r="13584" s="96" customFormat="true" ht="13.5"/>
    <row r="13585" s="96" customFormat="true" ht="13.5"/>
    <row r="13586" s="96" customFormat="true" ht="13.5"/>
    <row r="13587" s="96" customFormat="true" ht="13.5"/>
    <row r="13588" s="96" customFormat="true" ht="13.5"/>
    <row r="13589" s="96" customFormat="true" ht="13.5"/>
    <row r="13590" s="96" customFormat="true" ht="13.5"/>
    <row r="13591" s="96" customFormat="true" ht="13.5"/>
    <row r="13592" s="96" customFormat="true" ht="13.5"/>
    <row r="13593" s="96" customFormat="true" ht="13.5"/>
    <row r="13594" s="96" customFormat="true" ht="13.5"/>
    <row r="13595" s="96" customFormat="true" ht="13.5"/>
    <row r="13596" s="96" customFormat="true" ht="13.5"/>
    <row r="13597" s="96" customFormat="true" ht="13.5"/>
    <row r="13598" s="96" customFormat="true" ht="13.5"/>
    <row r="13599" s="96" customFormat="true" ht="13.5"/>
    <row r="13600" s="96" customFormat="true" ht="13.5"/>
    <row r="13601" s="96" customFormat="true" ht="13.5"/>
    <row r="13602" s="96" customFormat="true" ht="13.5"/>
    <row r="13603" s="96" customFormat="true" ht="13.5"/>
    <row r="13604" s="96" customFormat="true" ht="13.5"/>
    <row r="13605" s="96" customFormat="true" ht="13.5"/>
    <row r="13606" s="96" customFormat="true" ht="13.5"/>
    <row r="13607" s="96" customFormat="true" ht="13.5"/>
    <row r="13608" s="96" customFormat="true" ht="13.5"/>
    <row r="13609" s="96" customFormat="true" ht="13.5"/>
    <row r="13610" s="96" customFormat="true" ht="13.5"/>
    <row r="13611" s="96" customFormat="true" ht="13.5"/>
    <row r="13612" s="96" customFormat="true" ht="13.5"/>
    <row r="13613" s="96" customFormat="true" ht="13.5"/>
    <row r="13614" s="96" customFormat="true" ht="13.5"/>
    <row r="13615" s="96" customFormat="true" ht="13.5"/>
    <row r="13616" s="96" customFormat="true" ht="13.5"/>
    <row r="13617" s="96" customFormat="true" ht="13.5"/>
    <row r="13618" s="96" customFormat="true" ht="13.5"/>
    <row r="13619" s="96" customFormat="true" ht="13.5"/>
    <row r="13620" s="96" customFormat="true" ht="13.5"/>
    <row r="13621" s="96" customFormat="true" ht="13.5"/>
    <row r="13622" s="96" customFormat="true" ht="13.5"/>
    <row r="13623" s="96" customFormat="true" ht="13.5"/>
    <row r="13624" s="96" customFormat="true" ht="13.5"/>
    <row r="13625" s="96" customFormat="true" ht="13.5"/>
    <row r="13626" s="96" customFormat="true" ht="13.5"/>
    <row r="13627" s="96" customFormat="true" ht="13.5"/>
    <row r="13628" s="96" customFormat="true" ht="13.5"/>
    <row r="13629" s="96" customFormat="true" ht="13.5"/>
    <row r="13630" s="96" customFormat="true" ht="13.5"/>
    <row r="13631" s="96" customFormat="true" ht="13.5"/>
    <row r="13632" s="96" customFormat="true" ht="13.5"/>
    <row r="13633" s="96" customFormat="true" ht="13.5"/>
    <row r="13634" s="96" customFormat="true" ht="13.5"/>
    <row r="13635" s="96" customFormat="true" ht="13.5"/>
    <row r="13636" s="96" customFormat="true" ht="13.5"/>
    <row r="13637" s="96" customFormat="true" ht="13.5"/>
    <row r="13638" s="96" customFormat="true" ht="13.5"/>
    <row r="13639" s="96" customFormat="true" ht="13.5"/>
    <row r="13640" s="96" customFormat="true" ht="13.5"/>
    <row r="13641" s="96" customFormat="true" ht="13.5"/>
    <row r="13642" s="96" customFormat="true" ht="13.5"/>
    <row r="13643" s="96" customFormat="true" ht="13.5"/>
    <row r="13644" s="96" customFormat="true" ht="13.5"/>
    <row r="13645" s="96" customFormat="true" ht="13.5"/>
    <row r="13646" s="96" customFormat="true" ht="13.5"/>
    <row r="13647" s="96" customFormat="true" ht="13.5"/>
    <row r="13648" s="96" customFormat="true" ht="13.5"/>
    <row r="13649" s="96" customFormat="true" ht="13.5"/>
    <row r="13650" s="96" customFormat="true" ht="13.5"/>
    <row r="13651" s="96" customFormat="true" ht="13.5"/>
    <row r="13652" s="96" customFormat="true" ht="13.5"/>
    <row r="13653" s="96" customFormat="true" ht="13.5"/>
    <row r="13654" s="96" customFormat="true" ht="13.5"/>
    <row r="13655" s="96" customFormat="true" ht="13.5"/>
    <row r="13656" s="96" customFormat="true" ht="13.5"/>
    <row r="13657" s="96" customFormat="true" ht="13.5"/>
    <row r="13658" s="96" customFormat="true" ht="13.5"/>
    <row r="13659" s="96" customFormat="true" ht="13.5"/>
    <row r="13660" s="96" customFormat="true" ht="13.5"/>
    <row r="13661" s="96" customFormat="true" ht="13.5"/>
    <row r="13662" s="96" customFormat="true" ht="13.5"/>
    <row r="13663" s="96" customFormat="true" ht="13.5"/>
    <row r="13664" s="96" customFormat="true" ht="13.5"/>
    <row r="13665" s="96" customFormat="true" ht="13.5"/>
    <row r="13666" s="96" customFormat="true" ht="13.5"/>
    <row r="13667" s="96" customFormat="true" ht="13.5"/>
    <row r="13668" s="96" customFormat="true" ht="13.5"/>
    <row r="13669" s="96" customFormat="true" ht="13.5"/>
    <row r="13670" s="96" customFormat="true" ht="13.5"/>
    <row r="13671" s="96" customFormat="true" ht="13.5"/>
    <row r="13672" s="96" customFormat="true" ht="13.5"/>
    <row r="13673" s="96" customFormat="true" ht="13.5"/>
    <row r="13674" s="96" customFormat="true" ht="13.5"/>
    <row r="13675" s="96" customFormat="true" ht="13.5"/>
    <row r="13676" s="96" customFormat="true" ht="13.5"/>
    <row r="13677" s="96" customFormat="true" ht="13.5"/>
    <row r="13678" s="96" customFormat="true" ht="13.5"/>
    <row r="13679" s="96" customFormat="true" ht="13.5"/>
    <row r="13680" s="96" customFormat="true" ht="13.5"/>
    <row r="13681" s="96" customFormat="true" ht="13.5"/>
    <row r="13682" s="96" customFormat="true" ht="13.5"/>
    <row r="13683" s="96" customFormat="true" ht="13.5"/>
    <row r="13684" s="96" customFormat="true" ht="13.5"/>
    <row r="13685" s="96" customFormat="true" ht="13.5"/>
    <row r="13686" s="96" customFormat="true" ht="13.5"/>
    <row r="13687" s="96" customFormat="true" ht="13.5"/>
    <row r="13688" s="96" customFormat="true" ht="13.5"/>
    <row r="13689" s="96" customFormat="true" ht="13.5"/>
    <row r="13690" s="96" customFormat="true" ht="13.5"/>
    <row r="13691" s="96" customFormat="true" ht="13.5"/>
    <row r="13692" s="96" customFormat="true" ht="13.5"/>
    <row r="13693" s="96" customFormat="true" ht="13.5"/>
    <row r="13694" s="96" customFormat="true" ht="13.5"/>
    <row r="13695" s="96" customFormat="true" ht="13.5"/>
    <row r="13696" s="96" customFormat="true" ht="13.5"/>
    <row r="13697" s="96" customFormat="true" ht="13.5"/>
    <row r="13698" s="96" customFormat="true" ht="13.5"/>
    <row r="13699" s="96" customFormat="true" ht="13.5"/>
    <row r="13700" s="96" customFormat="true" ht="13.5"/>
    <row r="13701" s="96" customFormat="true" ht="13.5"/>
    <row r="13702" s="96" customFormat="true" ht="13.5"/>
    <row r="13703" s="96" customFormat="true" ht="13.5"/>
    <row r="13704" s="96" customFormat="true" ht="13.5"/>
    <row r="13705" s="96" customFormat="true" ht="13.5"/>
    <row r="13706" s="96" customFormat="true" ht="13.5"/>
    <row r="13707" s="96" customFormat="true" ht="13.5"/>
    <row r="13708" s="96" customFormat="true" ht="13.5"/>
    <row r="13709" s="96" customFormat="true" ht="13.5"/>
    <row r="13710" s="96" customFormat="true" ht="13.5"/>
    <row r="13711" s="96" customFormat="true" ht="13.5"/>
    <row r="13712" s="96" customFormat="true" ht="13.5"/>
    <row r="13713" s="96" customFormat="true" ht="13.5"/>
    <row r="13714" s="96" customFormat="true" ht="13.5"/>
    <row r="13715" s="96" customFormat="true" ht="13.5"/>
    <row r="13716" s="96" customFormat="true" ht="13.5"/>
    <row r="13717" s="96" customFormat="true" ht="13.5"/>
    <row r="13718" s="96" customFormat="true" ht="13.5"/>
    <row r="13719" s="96" customFormat="true" ht="13.5"/>
    <row r="13720" s="96" customFormat="true" ht="13.5"/>
    <row r="13721" s="96" customFormat="true" ht="13.5"/>
    <row r="13722" s="96" customFormat="true" ht="13.5"/>
    <row r="13723" s="96" customFormat="true" ht="13.5"/>
    <row r="13724" s="96" customFormat="true" ht="13.5"/>
    <row r="13725" s="96" customFormat="true" ht="13.5"/>
    <row r="13726" s="96" customFormat="true" ht="13.5"/>
    <row r="13727" s="96" customFormat="true" ht="13.5"/>
    <row r="13728" s="96" customFormat="true" ht="13.5"/>
    <row r="13729" s="96" customFormat="true" ht="13.5"/>
    <row r="13730" s="96" customFormat="true" ht="13.5"/>
    <row r="13731" s="96" customFormat="true" ht="13.5"/>
    <row r="13732" s="96" customFormat="true" ht="13.5"/>
    <row r="13733" s="96" customFormat="true" ht="13.5"/>
    <row r="13734" s="96" customFormat="true" ht="13.5"/>
    <row r="13735" s="96" customFormat="true" ht="13.5"/>
    <row r="13736" s="96" customFormat="true" ht="13.5"/>
    <row r="13737" s="96" customFormat="true" ht="13.5"/>
    <row r="13738" s="96" customFormat="true" ht="13.5"/>
    <row r="13739" s="96" customFormat="true" ht="13.5"/>
    <row r="13740" s="96" customFormat="true" ht="13.5"/>
    <row r="13741" s="96" customFormat="true" ht="13.5"/>
    <row r="13742" s="96" customFormat="true" ht="13.5"/>
    <row r="13743" s="96" customFormat="true" ht="13.5"/>
    <row r="13744" s="96" customFormat="true" ht="13.5"/>
    <row r="13745" s="96" customFormat="true" ht="13.5"/>
    <row r="13746" s="96" customFormat="true" ht="13.5"/>
    <row r="13747" s="96" customFormat="true" ht="13.5"/>
    <row r="13748" s="96" customFormat="true" ht="13.5"/>
    <row r="13749" s="96" customFormat="true" ht="13.5"/>
    <row r="13750" s="96" customFormat="true" ht="13.5"/>
    <row r="13751" s="96" customFormat="true" ht="13.5"/>
    <row r="13752" s="96" customFormat="true" ht="13.5"/>
    <row r="13753" s="96" customFormat="true" ht="13.5"/>
    <row r="13754" s="96" customFormat="true" ht="13.5"/>
    <row r="13755" s="96" customFormat="true" ht="13.5"/>
    <row r="13756" s="96" customFormat="true" ht="13.5"/>
    <row r="13757" s="96" customFormat="true" ht="13.5"/>
    <row r="13758" s="96" customFormat="true" ht="13.5"/>
    <row r="13759" s="96" customFormat="true" ht="13.5"/>
    <row r="13760" s="96" customFormat="true" ht="13.5"/>
    <row r="13761" s="96" customFormat="true" ht="13.5"/>
    <row r="13762" s="96" customFormat="true" ht="13.5"/>
    <row r="13763" s="96" customFormat="true" ht="13.5"/>
    <row r="13764" s="96" customFormat="true" ht="13.5"/>
    <row r="13765" s="96" customFormat="true" ht="13.5"/>
    <row r="13766" s="96" customFormat="true" ht="13.5"/>
    <row r="13767" s="96" customFormat="true" ht="13.5"/>
    <row r="13768" s="96" customFormat="true" ht="13.5"/>
    <row r="13769" s="96" customFormat="true" ht="13.5"/>
    <row r="13770" s="96" customFormat="true" ht="13.5"/>
    <row r="13771" s="96" customFormat="true" ht="13.5"/>
    <row r="13772" s="96" customFormat="true" ht="13.5"/>
    <row r="13773" s="96" customFormat="true" ht="13.5"/>
    <row r="13774" s="96" customFormat="true" ht="13.5"/>
    <row r="13775" s="96" customFormat="true" ht="13.5"/>
    <row r="13776" s="96" customFormat="true" ht="13.5"/>
    <row r="13777" s="96" customFormat="true" ht="13.5"/>
    <row r="13778" s="96" customFormat="true" ht="13.5"/>
    <row r="13779" s="96" customFormat="true" ht="13.5"/>
    <row r="13780" s="96" customFormat="true" ht="13.5"/>
    <row r="13781" s="96" customFormat="true" ht="13.5"/>
    <row r="13782" s="96" customFormat="true" ht="13.5"/>
    <row r="13783" s="96" customFormat="true" ht="13.5"/>
    <row r="13784" s="96" customFormat="true" ht="13.5"/>
    <row r="13785" s="96" customFormat="true" ht="13.5"/>
    <row r="13786" s="96" customFormat="true" ht="13.5"/>
    <row r="13787" s="96" customFormat="true" ht="13.5"/>
    <row r="13788" s="96" customFormat="true" ht="13.5"/>
    <row r="13789" s="96" customFormat="true" ht="13.5"/>
    <row r="13790" s="96" customFormat="true" ht="13.5"/>
    <row r="13791" s="96" customFormat="true" ht="13.5"/>
    <row r="13792" s="96" customFormat="true" ht="13.5"/>
    <row r="13793" s="96" customFormat="true" ht="13.5"/>
    <row r="13794" s="96" customFormat="true" ht="13.5"/>
    <row r="13795" s="96" customFormat="true" ht="13.5"/>
    <row r="13796" s="96" customFormat="true" ht="13.5"/>
    <row r="13797" s="96" customFormat="true" ht="13.5"/>
    <row r="13798" s="96" customFormat="true" ht="13.5"/>
    <row r="13799" s="96" customFormat="true" ht="13.5"/>
    <row r="13800" s="96" customFormat="true" ht="13.5"/>
    <row r="13801" s="96" customFormat="true" ht="13.5"/>
    <row r="13802" s="96" customFormat="true" ht="13.5"/>
    <row r="13803" s="96" customFormat="true" ht="13.5"/>
    <row r="13804" s="96" customFormat="true" ht="13.5"/>
    <row r="13805" s="96" customFormat="true" ht="13.5"/>
    <row r="13806" s="96" customFormat="true" ht="13.5"/>
    <row r="13807" s="96" customFormat="true" ht="13.5"/>
    <row r="13808" s="96" customFormat="true" ht="13.5"/>
    <row r="13809" s="96" customFormat="true" ht="13.5"/>
    <row r="13810" s="96" customFormat="true" ht="13.5"/>
    <row r="13811" s="96" customFormat="true" ht="13.5"/>
    <row r="13812" s="96" customFormat="true" ht="13.5"/>
    <row r="13813" s="96" customFormat="true" ht="13.5"/>
    <row r="13814" s="96" customFormat="true" ht="13.5"/>
    <row r="13815" s="96" customFormat="true" ht="13.5"/>
    <row r="13816" s="96" customFormat="true" ht="13.5"/>
    <row r="13817" s="96" customFormat="true" ht="13.5"/>
    <row r="13818" s="96" customFormat="true" ht="13.5"/>
    <row r="13819" s="96" customFormat="true" ht="13.5"/>
    <row r="13820" s="96" customFormat="true" ht="13.5"/>
    <row r="13821" s="96" customFormat="true" ht="13.5"/>
    <row r="13822" s="96" customFormat="true" ht="13.5"/>
    <row r="13823" s="96" customFormat="true" ht="13.5"/>
    <row r="13824" s="96" customFormat="true" ht="13.5"/>
    <row r="13825" s="96" customFormat="true" ht="13.5"/>
    <row r="13826" s="96" customFormat="true" ht="13.5"/>
    <row r="13827" s="96" customFormat="true" ht="13.5"/>
    <row r="13828" s="96" customFormat="true" ht="13.5"/>
    <row r="13829" s="96" customFormat="true" ht="13.5"/>
    <row r="13830" s="96" customFormat="true" ht="13.5"/>
    <row r="13831" s="96" customFormat="true" ht="13.5"/>
    <row r="13832" s="96" customFormat="true" ht="13.5"/>
    <row r="13833" s="96" customFormat="true" ht="13.5"/>
    <row r="13834" s="96" customFormat="true" ht="13.5"/>
    <row r="13835" s="96" customFormat="true" ht="13.5"/>
    <row r="13836" s="96" customFormat="true" ht="13.5"/>
    <row r="13837" s="96" customFormat="true" ht="13.5"/>
    <row r="13838" s="96" customFormat="true" ht="13.5"/>
    <row r="13839" s="96" customFormat="true" ht="13.5"/>
    <row r="13840" s="96" customFormat="true" ht="13.5"/>
    <row r="13841" s="96" customFormat="true" ht="13.5"/>
    <row r="13842" s="96" customFormat="true" ht="13.5"/>
    <row r="13843" s="96" customFormat="true" ht="13.5"/>
    <row r="13844" s="96" customFormat="true" ht="13.5"/>
    <row r="13845" s="96" customFormat="true" ht="13.5"/>
    <row r="13846" s="96" customFormat="true" ht="13.5"/>
    <row r="13847" s="96" customFormat="true" ht="13.5"/>
    <row r="13848" s="96" customFormat="true" ht="13.5"/>
    <row r="13849" s="96" customFormat="true" ht="13.5"/>
    <row r="13850" s="96" customFormat="true" ht="13.5"/>
    <row r="13851" s="96" customFormat="true" ht="13.5"/>
    <row r="13852" s="96" customFormat="true" ht="13.5"/>
    <row r="13853" s="96" customFormat="true" ht="13.5"/>
    <row r="13854" s="96" customFormat="true" ht="13.5"/>
    <row r="13855" s="96" customFormat="true" ht="13.5"/>
    <row r="13856" s="96" customFormat="true" ht="13.5"/>
    <row r="13857" s="96" customFormat="true" ht="13.5"/>
    <row r="13858" s="96" customFormat="true" ht="13.5"/>
    <row r="13859" s="96" customFormat="true" ht="13.5"/>
    <row r="13860" s="96" customFormat="true" ht="13.5"/>
    <row r="13861" s="96" customFormat="true" ht="13.5"/>
    <row r="13862" s="96" customFormat="true" ht="13.5"/>
    <row r="13863" s="96" customFormat="true" ht="13.5"/>
    <row r="13864" s="96" customFormat="true" ht="13.5"/>
    <row r="13865" s="96" customFormat="true" ht="13.5"/>
    <row r="13866" s="96" customFormat="true" ht="13.5"/>
    <row r="13867" s="96" customFormat="true" ht="13.5"/>
    <row r="13868" s="96" customFormat="true" ht="13.5"/>
    <row r="13869" s="96" customFormat="true" ht="13.5"/>
    <row r="13870" s="96" customFormat="true" ht="13.5"/>
    <row r="13871" s="96" customFormat="true" ht="13.5"/>
    <row r="13872" s="96" customFormat="true" ht="13.5"/>
    <row r="13873" s="96" customFormat="true" ht="13.5"/>
    <row r="13874" s="96" customFormat="true" ht="13.5"/>
    <row r="13875" s="96" customFormat="true" ht="13.5"/>
    <row r="13876" s="96" customFormat="true" ht="13.5"/>
    <row r="13877" s="96" customFormat="true" ht="13.5"/>
    <row r="13878" s="96" customFormat="true" ht="13.5"/>
    <row r="13879" s="96" customFormat="true" ht="13.5"/>
    <row r="13880" s="96" customFormat="true" ht="13.5"/>
    <row r="13881" s="96" customFormat="true" ht="13.5"/>
    <row r="13882" s="96" customFormat="true" ht="13.5"/>
    <row r="13883" s="96" customFormat="true" ht="13.5"/>
    <row r="13884" s="96" customFormat="true" ht="13.5"/>
    <row r="13885" s="96" customFormat="true" ht="13.5"/>
    <row r="13886" s="96" customFormat="true" ht="13.5"/>
    <row r="13887" s="96" customFormat="true" ht="13.5"/>
    <row r="13888" s="96" customFormat="true" ht="13.5"/>
    <row r="13889" s="96" customFormat="true" ht="13.5"/>
    <row r="13890" s="96" customFormat="true" ht="13.5"/>
    <row r="13891" s="96" customFormat="true" ht="13.5"/>
    <row r="13892" s="96" customFormat="true" ht="13.5"/>
    <row r="13893" s="96" customFormat="true" ht="13.5"/>
    <row r="13894" s="96" customFormat="true" ht="13.5"/>
    <row r="13895" s="96" customFormat="true" ht="13.5"/>
    <row r="13896" s="96" customFormat="true" ht="13.5"/>
    <row r="13897" s="96" customFormat="true" ht="13.5"/>
    <row r="13898" s="96" customFormat="true" ht="13.5"/>
    <row r="13899" s="96" customFormat="true" ht="13.5"/>
    <row r="13900" s="96" customFormat="true" ht="13.5"/>
    <row r="13901" s="96" customFormat="true" ht="13.5"/>
    <row r="13902" s="96" customFormat="true" ht="13.5"/>
    <row r="13903" s="96" customFormat="true" ht="13.5"/>
    <row r="13904" s="96" customFormat="true" ht="13.5"/>
    <row r="13905" s="96" customFormat="true" ht="13.5"/>
    <row r="13906" s="96" customFormat="true" ht="13.5"/>
    <row r="13907" s="96" customFormat="true" ht="13.5"/>
    <row r="13908" s="96" customFormat="true" ht="13.5"/>
    <row r="13909" s="96" customFormat="true" ht="13.5"/>
    <row r="13910" s="96" customFormat="true" ht="13.5"/>
    <row r="13911" s="96" customFormat="true" ht="13.5"/>
    <row r="13912" s="96" customFormat="true" ht="13.5"/>
    <row r="13913" s="96" customFormat="true" ht="13.5"/>
    <row r="13914" s="96" customFormat="true" ht="13.5"/>
    <row r="13915" s="96" customFormat="true" ht="13.5"/>
    <row r="13916" s="96" customFormat="true" ht="13.5"/>
    <row r="13917" s="96" customFormat="true" ht="13.5"/>
    <row r="13918" s="96" customFormat="true" ht="13.5"/>
    <row r="13919" s="96" customFormat="true" ht="13.5"/>
    <row r="13920" s="96" customFormat="true" ht="13.5"/>
    <row r="13921" s="96" customFormat="true" ht="13.5"/>
    <row r="13922" s="96" customFormat="true" ht="13.5"/>
    <row r="13923" s="96" customFormat="true" ht="13.5"/>
    <row r="13924" s="96" customFormat="true" ht="13.5"/>
    <row r="13925" s="96" customFormat="true" ht="13.5"/>
    <row r="13926" s="96" customFormat="true" ht="13.5"/>
    <row r="13927" s="96" customFormat="true" ht="13.5"/>
    <row r="13928" s="96" customFormat="true" ht="13.5"/>
    <row r="13929" s="96" customFormat="true" ht="13.5"/>
    <row r="13930" s="96" customFormat="true" ht="13.5"/>
    <row r="13931" s="96" customFormat="true" ht="13.5"/>
    <row r="13932" s="96" customFormat="true" ht="13.5"/>
    <row r="13933" s="96" customFormat="true" ht="13.5"/>
    <row r="13934" s="96" customFormat="true" ht="13.5"/>
    <row r="13935" s="96" customFormat="true" ht="13.5"/>
    <row r="13936" s="96" customFormat="true" ht="13.5"/>
    <row r="13937" s="96" customFormat="true" ht="13.5"/>
    <row r="13938" s="96" customFormat="true" ht="13.5"/>
    <row r="13939" s="96" customFormat="true" ht="13.5"/>
    <row r="13940" s="96" customFormat="true" ht="13.5"/>
    <row r="13941" s="96" customFormat="true" ht="13.5"/>
    <row r="13942" s="96" customFormat="true" ht="13.5"/>
    <row r="13943" s="96" customFormat="true" ht="13.5"/>
    <row r="13944" s="96" customFormat="true" ht="13.5"/>
    <row r="13945" s="96" customFormat="true" ht="13.5"/>
    <row r="13946" s="96" customFormat="true" ht="13.5"/>
    <row r="13947" s="96" customFormat="true" ht="13.5"/>
    <row r="13948" s="96" customFormat="true" ht="13.5"/>
    <row r="13949" s="96" customFormat="true" ht="13.5"/>
    <row r="13950" s="96" customFormat="true" ht="13.5"/>
    <row r="13951" s="96" customFormat="true" ht="13.5"/>
    <row r="13952" s="96" customFormat="true" ht="13.5"/>
    <row r="13953" s="96" customFormat="true" ht="13.5"/>
    <row r="13954" s="96" customFormat="true" ht="13.5"/>
    <row r="13955" s="96" customFormat="true" ht="13.5"/>
    <row r="13956" s="96" customFormat="true" ht="13.5"/>
    <row r="13957" s="96" customFormat="true" ht="13.5"/>
    <row r="13958" s="96" customFormat="true" ht="13.5"/>
    <row r="13959" s="96" customFormat="true" ht="13.5"/>
    <row r="13960" s="96" customFormat="true" ht="13.5"/>
    <row r="13961" s="96" customFormat="true" ht="13.5"/>
    <row r="13962" s="96" customFormat="true" ht="13.5"/>
    <row r="13963" s="96" customFormat="true" ht="13.5"/>
    <row r="13964" s="96" customFormat="true" ht="13.5"/>
    <row r="13965" s="96" customFormat="true" ht="13.5"/>
    <row r="13966" s="96" customFormat="true" ht="13.5"/>
    <row r="13967" s="96" customFormat="true" ht="13.5"/>
    <row r="13968" s="96" customFormat="true" ht="13.5"/>
    <row r="13969" s="96" customFormat="true" ht="13.5"/>
    <row r="13970" s="96" customFormat="true" ht="13.5"/>
    <row r="13971" s="96" customFormat="true" ht="13.5"/>
    <row r="13972" s="96" customFormat="true" ht="13.5"/>
    <row r="13973" s="96" customFormat="true" ht="13.5"/>
    <row r="13974" s="96" customFormat="true" ht="13.5"/>
    <row r="13975" s="96" customFormat="true" ht="13.5"/>
    <row r="13976" s="96" customFormat="true" ht="13.5"/>
    <row r="13977" s="96" customFormat="true" ht="13.5"/>
    <row r="13978" s="96" customFormat="true" ht="13.5"/>
    <row r="13979" s="96" customFormat="true" ht="13.5"/>
    <row r="13980" s="96" customFormat="true" ht="13.5"/>
    <row r="13981" s="96" customFormat="true" ht="13.5"/>
    <row r="13982" s="96" customFormat="true" ht="13.5"/>
    <row r="13983" s="96" customFormat="true" ht="13.5"/>
    <row r="13984" s="96" customFormat="true" ht="13.5"/>
    <row r="13985" s="96" customFormat="true" ht="13.5"/>
    <row r="13986" s="96" customFormat="true" ht="13.5"/>
    <row r="13987" s="96" customFormat="true" ht="13.5"/>
    <row r="13988" s="96" customFormat="true" ht="13.5"/>
    <row r="13989" s="96" customFormat="true" ht="13.5"/>
    <row r="13990" s="96" customFormat="true" ht="13.5"/>
    <row r="13991" s="96" customFormat="true" ht="13.5"/>
    <row r="13992" s="96" customFormat="true" ht="13.5"/>
    <row r="13993" s="96" customFormat="true" ht="13.5"/>
    <row r="13994" s="96" customFormat="true" ht="13.5"/>
    <row r="13995" s="96" customFormat="true" ht="13.5"/>
    <row r="13996" s="96" customFormat="true" ht="13.5"/>
    <row r="13997" s="96" customFormat="true" ht="13.5"/>
    <row r="13998" s="96" customFormat="true" ht="13.5"/>
    <row r="13999" s="96" customFormat="true" ht="13.5"/>
    <row r="14000" s="96" customFormat="true" ht="13.5"/>
    <row r="14001" s="96" customFormat="true" ht="13.5"/>
    <row r="14002" s="96" customFormat="true" ht="13.5"/>
    <row r="14003" s="96" customFormat="true" ht="13.5"/>
    <row r="14004" s="96" customFormat="true" ht="13.5"/>
    <row r="14005" s="96" customFormat="true" ht="13.5"/>
    <row r="14006" s="96" customFormat="true" ht="13.5"/>
    <row r="14007" s="96" customFormat="true" ht="13.5"/>
    <row r="14008" s="96" customFormat="true" ht="13.5"/>
    <row r="14009" s="96" customFormat="true" ht="13.5"/>
    <row r="14010" s="96" customFormat="true" ht="13.5"/>
    <row r="14011" s="96" customFormat="true" ht="13.5"/>
    <row r="14012" s="96" customFormat="true" ht="13.5"/>
    <row r="14013" s="96" customFormat="true" ht="13.5"/>
    <row r="14014" s="96" customFormat="true" ht="13.5"/>
    <row r="14015" s="96" customFormat="true" ht="13.5"/>
    <row r="14016" s="96" customFormat="true" ht="13.5"/>
    <row r="14017" s="96" customFormat="true" ht="13.5"/>
    <row r="14018" s="96" customFormat="true" ht="13.5"/>
    <row r="14019" s="96" customFormat="true" ht="13.5"/>
    <row r="14020" s="96" customFormat="true" ht="13.5"/>
    <row r="14021" s="96" customFormat="true" ht="13.5"/>
    <row r="14022" s="96" customFormat="true" ht="13.5"/>
    <row r="14023" s="96" customFormat="true" ht="13.5"/>
    <row r="14024" s="96" customFormat="true" ht="13.5"/>
    <row r="14025" s="96" customFormat="true" ht="13.5"/>
    <row r="14026" s="96" customFormat="true" ht="13.5"/>
    <row r="14027" s="96" customFormat="true" ht="13.5"/>
    <row r="14028" s="96" customFormat="true" ht="13.5"/>
    <row r="14029" s="96" customFormat="true" ht="13.5"/>
    <row r="14030" s="96" customFormat="true" ht="13.5"/>
    <row r="14031" s="96" customFormat="true" ht="13.5"/>
    <row r="14032" s="96" customFormat="true" ht="13.5"/>
    <row r="14033" s="96" customFormat="true" ht="13.5"/>
    <row r="14034" s="96" customFormat="true" ht="13.5"/>
    <row r="14035" s="96" customFormat="true" ht="13.5"/>
    <row r="14036" s="96" customFormat="true" ht="13.5"/>
    <row r="14037" s="96" customFormat="true" ht="13.5"/>
    <row r="14038" s="96" customFormat="true" ht="13.5"/>
    <row r="14039" s="96" customFormat="true" ht="13.5"/>
    <row r="14040" s="96" customFormat="true" ht="13.5"/>
    <row r="14041" s="96" customFormat="true" ht="13.5"/>
    <row r="14042" s="96" customFormat="true" ht="13.5"/>
    <row r="14043" s="96" customFormat="true" ht="13.5"/>
    <row r="14044" s="96" customFormat="true" ht="13.5"/>
    <row r="14045" s="96" customFormat="true" ht="13.5"/>
    <row r="14046" s="96" customFormat="true" ht="13.5"/>
    <row r="14047" s="96" customFormat="true" ht="13.5"/>
    <row r="14048" s="96" customFormat="true" ht="13.5"/>
    <row r="14049" s="96" customFormat="true" ht="13.5"/>
    <row r="14050" s="96" customFormat="true" ht="13.5"/>
    <row r="14051" s="96" customFormat="true" ht="13.5"/>
    <row r="14052" s="96" customFormat="true" ht="13.5"/>
    <row r="14053" s="96" customFormat="true" ht="13.5"/>
    <row r="14054" s="96" customFormat="true" ht="13.5"/>
    <row r="14055" s="96" customFormat="true" ht="13.5"/>
    <row r="14056" s="96" customFormat="true" ht="13.5"/>
    <row r="14057" s="96" customFormat="true" ht="13.5"/>
    <row r="14058" s="96" customFormat="true" ht="13.5"/>
    <row r="14059" s="96" customFormat="true" ht="13.5"/>
    <row r="14060" s="96" customFormat="true" ht="13.5"/>
    <row r="14061" s="96" customFormat="true" ht="13.5"/>
    <row r="14062" s="96" customFormat="true" ht="13.5"/>
    <row r="14063" s="96" customFormat="true" ht="13.5"/>
    <row r="14064" s="96" customFormat="true" ht="13.5"/>
    <row r="14065" s="96" customFormat="true" ht="13.5"/>
    <row r="14066" s="96" customFormat="true" ht="13.5"/>
    <row r="14067" s="96" customFormat="true" ht="13.5"/>
    <row r="14068" s="96" customFormat="true" ht="13.5"/>
    <row r="14069" s="96" customFormat="true" ht="13.5"/>
    <row r="14070" s="96" customFormat="true" ht="13.5"/>
    <row r="14071" s="96" customFormat="true" ht="13.5"/>
    <row r="14072" s="96" customFormat="true" ht="13.5"/>
    <row r="14073" s="96" customFormat="true" ht="13.5"/>
    <row r="14074" s="96" customFormat="true" ht="13.5"/>
    <row r="14075" s="96" customFormat="true" ht="13.5"/>
    <row r="14076" s="96" customFormat="true" ht="13.5"/>
    <row r="14077" s="96" customFormat="true" ht="13.5"/>
    <row r="14078" s="96" customFormat="true" ht="13.5"/>
    <row r="14079" s="96" customFormat="true" ht="13.5"/>
    <row r="14080" s="96" customFormat="true" ht="13.5"/>
    <row r="14081" s="96" customFormat="true" ht="13.5"/>
    <row r="14082" s="96" customFormat="true" ht="13.5"/>
    <row r="14083" s="96" customFormat="true" ht="13.5"/>
    <row r="14084" s="96" customFormat="true" ht="13.5"/>
    <row r="14085" s="96" customFormat="true" ht="13.5"/>
    <row r="14086" s="96" customFormat="true" ht="13.5"/>
    <row r="14087" s="96" customFormat="true" ht="13.5"/>
    <row r="14088" s="96" customFormat="true" ht="13.5"/>
    <row r="14089" s="96" customFormat="true" ht="13.5"/>
    <row r="14090" s="96" customFormat="true" ht="13.5"/>
    <row r="14091" s="96" customFormat="true" ht="13.5"/>
    <row r="14092" s="96" customFormat="true" ht="13.5"/>
    <row r="14093" s="96" customFormat="true" ht="13.5"/>
    <row r="14094" s="96" customFormat="true" ht="13.5"/>
    <row r="14095" s="96" customFormat="true" ht="13.5"/>
    <row r="14096" s="96" customFormat="true" ht="13.5"/>
    <row r="14097" s="96" customFormat="true" ht="13.5"/>
    <row r="14098" s="96" customFormat="true" ht="13.5"/>
    <row r="14099" s="96" customFormat="true" ht="13.5"/>
    <row r="14100" s="96" customFormat="true" ht="13.5"/>
    <row r="14101" s="96" customFormat="true" ht="13.5"/>
    <row r="14102" s="96" customFormat="true" ht="13.5"/>
    <row r="14103" s="96" customFormat="true" ht="13.5"/>
    <row r="14104" s="96" customFormat="true" ht="13.5"/>
    <row r="14105" s="96" customFormat="true" ht="13.5"/>
    <row r="14106" s="96" customFormat="true" ht="13.5"/>
    <row r="14107" s="96" customFormat="true" ht="13.5"/>
    <row r="14108" s="96" customFormat="true" ht="13.5"/>
    <row r="14109" s="96" customFormat="true" ht="13.5"/>
    <row r="14110" s="96" customFormat="true" ht="13.5"/>
    <row r="14111" s="96" customFormat="true" ht="13.5"/>
    <row r="14112" s="96" customFormat="true" ht="13.5"/>
    <row r="14113" s="96" customFormat="true" ht="13.5"/>
    <row r="14114" s="96" customFormat="true" ht="13.5"/>
    <row r="14115" s="96" customFormat="true" ht="13.5"/>
    <row r="14116" s="96" customFormat="true" ht="13.5"/>
    <row r="14117" s="96" customFormat="true" ht="13.5"/>
    <row r="14118" s="96" customFormat="true" ht="13.5"/>
    <row r="14119" s="96" customFormat="true" ht="13.5"/>
    <row r="14120" s="96" customFormat="true" ht="13.5"/>
    <row r="14121" s="96" customFormat="true" ht="13.5"/>
    <row r="14122" s="96" customFormat="true" ht="13.5"/>
    <row r="14123" s="96" customFormat="true" ht="13.5"/>
    <row r="14124" s="96" customFormat="true" ht="13.5"/>
    <row r="14125" s="96" customFormat="true" ht="13.5"/>
    <row r="14126" s="96" customFormat="true" ht="13.5"/>
    <row r="14127" s="96" customFormat="true" ht="13.5"/>
    <row r="14128" s="96" customFormat="true" ht="13.5"/>
    <row r="14129" s="96" customFormat="true" ht="13.5"/>
    <row r="14130" s="96" customFormat="true" ht="13.5"/>
    <row r="14131" s="96" customFormat="true" ht="13.5"/>
    <row r="14132" s="96" customFormat="true" ht="13.5"/>
    <row r="14133" s="96" customFormat="true" ht="13.5"/>
    <row r="14134" s="96" customFormat="true" ht="13.5"/>
    <row r="14135" s="96" customFormat="true" ht="13.5"/>
    <row r="14136" s="96" customFormat="true" ht="13.5"/>
    <row r="14137" s="96" customFormat="true" ht="13.5"/>
    <row r="14138" s="96" customFormat="true" ht="13.5"/>
    <row r="14139" s="96" customFormat="true" ht="13.5"/>
    <row r="14140" s="96" customFormat="true" ht="13.5"/>
    <row r="14141" s="96" customFormat="true" ht="13.5"/>
    <row r="14142" s="96" customFormat="true" ht="13.5"/>
    <row r="14143" s="96" customFormat="true" ht="13.5"/>
    <row r="14144" s="96" customFormat="true" ht="13.5"/>
    <row r="14145" s="96" customFormat="true" ht="13.5"/>
    <row r="14146" s="96" customFormat="true" ht="13.5"/>
    <row r="14147" s="96" customFormat="true" ht="13.5"/>
    <row r="14148" s="96" customFormat="true" ht="13.5"/>
    <row r="14149" s="96" customFormat="true" ht="13.5"/>
    <row r="14150" s="96" customFormat="true" ht="13.5"/>
    <row r="14151" s="96" customFormat="true" ht="13.5"/>
    <row r="14152" s="96" customFormat="true" ht="13.5"/>
    <row r="14153" s="96" customFormat="true" ht="13.5"/>
    <row r="14154" s="96" customFormat="true" ht="13.5"/>
    <row r="14155" s="96" customFormat="true" ht="13.5"/>
    <row r="14156" s="96" customFormat="true" ht="13.5"/>
    <row r="14157" s="96" customFormat="true" ht="13.5"/>
    <row r="14158" s="96" customFormat="true" ht="13.5"/>
    <row r="14159" s="96" customFormat="true" ht="13.5"/>
    <row r="14160" s="96" customFormat="true" ht="13.5"/>
    <row r="14161" s="96" customFormat="true" ht="13.5"/>
    <row r="14162" s="96" customFormat="true" ht="13.5"/>
    <row r="14163" s="96" customFormat="true" ht="13.5"/>
    <row r="14164" s="96" customFormat="true" ht="13.5"/>
    <row r="14165" s="96" customFormat="true" ht="13.5"/>
    <row r="14166" s="96" customFormat="true" ht="13.5"/>
    <row r="14167" s="96" customFormat="true" ht="13.5"/>
    <row r="14168" s="96" customFormat="true" ht="13.5"/>
    <row r="14169" s="96" customFormat="true" ht="13.5"/>
    <row r="14170" s="96" customFormat="true" ht="13.5"/>
    <row r="14171" s="96" customFormat="true" ht="13.5"/>
    <row r="14172" s="96" customFormat="true" ht="13.5"/>
    <row r="14173" s="96" customFormat="true" ht="13.5"/>
    <row r="14174" s="96" customFormat="true" ht="13.5"/>
    <row r="14175" s="96" customFormat="true" ht="13.5"/>
    <row r="14176" s="96" customFormat="true" ht="13.5"/>
    <row r="14177" s="96" customFormat="true" ht="13.5"/>
    <row r="14178" s="96" customFormat="true" ht="13.5"/>
    <row r="14179" s="96" customFormat="true" ht="13.5"/>
    <row r="14180" s="96" customFormat="true" ht="13.5"/>
    <row r="14181" s="96" customFormat="true" ht="13.5"/>
    <row r="14182" s="96" customFormat="true" ht="13.5"/>
    <row r="14183" s="96" customFormat="true" ht="13.5"/>
    <row r="14184" s="96" customFormat="true" ht="13.5"/>
    <row r="14185" s="96" customFormat="true" ht="13.5"/>
    <row r="14186" s="96" customFormat="true" ht="13.5"/>
    <row r="14187" s="96" customFormat="true" ht="13.5"/>
    <row r="14188" s="96" customFormat="true" ht="13.5"/>
    <row r="14189" s="96" customFormat="true" ht="13.5"/>
    <row r="14190" s="96" customFormat="true" ht="13.5"/>
    <row r="14191" s="96" customFormat="true" ht="13.5"/>
    <row r="14192" s="96" customFormat="true" ht="13.5"/>
    <row r="14193" s="96" customFormat="true" ht="13.5"/>
    <row r="14194" s="96" customFormat="true" ht="13.5"/>
    <row r="14195" s="96" customFormat="true" ht="13.5"/>
    <row r="14196" s="96" customFormat="true" ht="13.5"/>
    <row r="14197" s="96" customFormat="true" ht="13.5"/>
    <row r="14198" s="96" customFormat="true" ht="13.5"/>
    <row r="14199" s="96" customFormat="true" ht="13.5"/>
    <row r="14200" s="96" customFormat="true" ht="13.5"/>
    <row r="14201" s="96" customFormat="true" ht="13.5"/>
    <row r="14202" s="96" customFormat="true" ht="13.5"/>
    <row r="14203" s="96" customFormat="true" ht="13.5"/>
    <row r="14204" s="96" customFormat="true" ht="13.5"/>
    <row r="14205" s="96" customFormat="true" ht="13.5"/>
    <row r="14206" s="96" customFormat="true" ht="13.5"/>
    <row r="14207" s="96" customFormat="true" ht="13.5"/>
    <row r="14208" s="96" customFormat="true" ht="13.5"/>
    <row r="14209" s="96" customFormat="true" ht="13.5"/>
    <row r="14210" s="96" customFormat="true" ht="13.5"/>
    <row r="14211" s="96" customFormat="true" ht="13.5"/>
    <row r="14212" s="96" customFormat="true" ht="13.5"/>
    <row r="14213" s="96" customFormat="true" ht="13.5"/>
    <row r="14214" s="96" customFormat="true" ht="13.5"/>
    <row r="14215" s="96" customFormat="true" ht="13.5"/>
    <row r="14216" s="96" customFormat="true" ht="13.5"/>
    <row r="14217" s="96" customFormat="true" ht="13.5"/>
    <row r="14218" s="96" customFormat="true" ht="13.5"/>
    <row r="14219" s="96" customFormat="true" ht="13.5"/>
    <row r="14220" s="96" customFormat="true" ht="13.5"/>
    <row r="14221" s="96" customFormat="true" ht="13.5"/>
    <row r="14222" s="96" customFormat="true" ht="13.5"/>
    <row r="14223" s="96" customFormat="true" ht="13.5"/>
    <row r="14224" s="96" customFormat="true" ht="13.5"/>
    <row r="14225" s="96" customFormat="true" ht="13.5"/>
    <row r="14226" s="96" customFormat="true" ht="13.5"/>
    <row r="14227" s="96" customFormat="true" ht="13.5"/>
    <row r="14228" s="96" customFormat="true" ht="13.5"/>
    <row r="14229" s="96" customFormat="true" ht="13.5"/>
    <row r="14230" s="96" customFormat="true" ht="13.5"/>
    <row r="14231" s="96" customFormat="true" ht="13.5"/>
    <row r="14232" s="96" customFormat="true" ht="13.5"/>
    <row r="14233" s="96" customFormat="true" ht="13.5"/>
    <row r="14234" s="96" customFormat="true" ht="13.5"/>
    <row r="14235" s="96" customFormat="true" ht="13.5"/>
    <row r="14236" s="96" customFormat="true" ht="13.5"/>
    <row r="14237" s="96" customFormat="true" ht="13.5"/>
    <row r="14238" s="96" customFormat="true" ht="13.5"/>
    <row r="14239" s="96" customFormat="true" ht="13.5"/>
    <row r="14240" s="96" customFormat="true" ht="13.5"/>
    <row r="14241" s="96" customFormat="true" ht="13.5"/>
    <row r="14242" s="96" customFormat="true" ht="13.5"/>
    <row r="14243" s="96" customFormat="true" ht="13.5"/>
    <row r="14244" s="96" customFormat="true" ht="13.5"/>
    <row r="14245" s="96" customFormat="true" ht="13.5"/>
    <row r="14246" s="96" customFormat="true" ht="13.5"/>
    <row r="14247" s="96" customFormat="true" ht="13.5"/>
    <row r="14248" s="96" customFormat="true" ht="13.5"/>
    <row r="14249" s="96" customFormat="true" ht="13.5"/>
    <row r="14250" s="96" customFormat="true" ht="13.5"/>
    <row r="14251" s="96" customFormat="true" ht="13.5"/>
    <row r="14252" s="96" customFormat="true" ht="13.5"/>
    <row r="14253" s="96" customFormat="true" ht="13.5"/>
    <row r="14254" s="96" customFormat="true" ht="13.5"/>
    <row r="14255" s="96" customFormat="true" ht="13.5"/>
    <row r="14256" s="96" customFormat="true" ht="13.5"/>
    <row r="14257" s="96" customFormat="true" ht="13.5"/>
    <row r="14258" s="96" customFormat="true" ht="13.5"/>
    <row r="14259" s="96" customFormat="true" ht="13.5"/>
    <row r="14260" s="96" customFormat="true" ht="13.5"/>
    <row r="14261" s="96" customFormat="true" ht="13.5"/>
    <row r="14262" s="96" customFormat="true" ht="13.5"/>
    <row r="14263" s="96" customFormat="true" ht="13.5"/>
    <row r="14264" s="96" customFormat="true" ht="13.5"/>
    <row r="14265" s="96" customFormat="true" ht="13.5"/>
    <row r="14266" s="96" customFormat="true" ht="13.5"/>
    <row r="14267" s="96" customFormat="true" ht="13.5"/>
    <row r="14268" s="96" customFormat="true" ht="13.5"/>
    <row r="14269" s="96" customFormat="true" ht="13.5"/>
    <row r="14270" s="96" customFormat="true" ht="13.5"/>
    <row r="14271" s="96" customFormat="true" ht="13.5"/>
    <row r="14272" s="96" customFormat="true" ht="13.5"/>
    <row r="14273" s="96" customFormat="true" ht="13.5"/>
    <row r="14274" s="96" customFormat="true" ht="13.5"/>
    <row r="14275" s="96" customFormat="true" ht="13.5"/>
    <row r="14276" s="96" customFormat="true" ht="13.5"/>
    <row r="14277" s="96" customFormat="true" ht="13.5"/>
    <row r="14278" s="96" customFormat="true" ht="13.5"/>
    <row r="14279" s="96" customFormat="true" ht="13.5"/>
    <row r="14280" s="96" customFormat="true" ht="13.5"/>
    <row r="14281" s="96" customFormat="true" ht="13.5"/>
    <row r="14282" s="96" customFormat="true" ht="13.5"/>
    <row r="14283" s="96" customFormat="true" ht="13.5"/>
    <row r="14284" s="96" customFormat="true" ht="13.5"/>
    <row r="14285" s="96" customFormat="true" ht="13.5"/>
    <row r="14286" s="96" customFormat="true" ht="13.5"/>
    <row r="14287" s="96" customFormat="true" ht="13.5"/>
    <row r="14288" s="96" customFormat="true" ht="13.5"/>
    <row r="14289" s="96" customFormat="true" ht="13.5"/>
    <row r="14290" s="96" customFormat="true" ht="13.5"/>
    <row r="14291" s="96" customFormat="true" ht="13.5"/>
    <row r="14292" s="96" customFormat="true" ht="13.5"/>
    <row r="14293" s="96" customFormat="true" ht="13.5"/>
    <row r="14294" s="96" customFormat="true" ht="13.5"/>
    <row r="14295" s="96" customFormat="true" ht="13.5"/>
    <row r="14296" s="96" customFormat="true" ht="13.5"/>
    <row r="14297" s="96" customFormat="true" ht="13.5"/>
    <row r="14298" s="96" customFormat="true" ht="13.5"/>
    <row r="14299" s="96" customFormat="true" ht="13.5"/>
    <row r="14300" s="96" customFormat="true" ht="13.5"/>
    <row r="14301" s="96" customFormat="true" ht="13.5"/>
    <row r="14302" s="96" customFormat="true" ht="13.5"/>
    <row r="14303" s="96" customFormat="true" ht="13.5"/>
    <row r="14304" s="96" customFormat="true" ht="13.5"/>
    <row r="14305" s="96" customFormat="true" ht="13.5"/>
    <row r="14306" s="96" customFormat="true" ht="13.5"/>
    <row r="14307" s="96" customFormat="true" ht="13.5"/>
    <row r="14308" s="96" customFormat="true" ht="13.5"/>
    <row r="14309" s="96" customFormat="true" ht="13.5"/>
    <row r="14310" s="96" customFormat="true" ht="13.5"/>
    <row r="14311" s="96" customFormat="true" ht="13.5"/>
    <row r="14312" s="96" customFormat="true" ht="13.5"/>
    <row r="14313" s="96" customFormat="true" ht="13.5"/>
    <row r="14314" s="96" customFormat="true" ht="13.5"/>
    <row r="14315" s="96" customFormat="true" ht="13.5"/>
    <row r="14316" s="96" customFormat="true" ht="13.5"/>
    <row r="14317" s="96" customFormat="true" ht="13.5"/>
    <row r="14318" s="96" customFormat="true" ht="13.5"/>
    <row r="14319" s="96" customFormat="true" ht="13.5"/>
    <row r="14320" s="96" customFormat="true" ht="13.5"/>
    <row r="14321" s="96" customFormat="true" ht="13.5"/>
    <row r="14322" s="96" customFormat="true" ht="13.5"/>
    <row r="14323" s="96" customFormat="true" ht="13.5"/>
    <row r="14324" s="96" customFormat="true" ht="13.5"/>
    <row r="14325" s="96" customFormat="true" ht="13.5"/>
    <row r="14326" s="96" customFormat="true" ht="13.5"/>
    <row r="14327" s="96" customFormat="true" ht="13.5"/>
    <row r="14328" s="96" customFormat="true" ht="13.5"/>
    <row r="14329" s="96" customFormat="true" ht="13.5"/>
    <row r="14330" s="96" customFormat="true" ht="13.5"/>
    <row r="14331" s="96" customFormat="true" ht="13.5"/>
    <row r="14332" s="96" customFormat="true" ht="13.5"/>
    <row r="14333" s="96" customFormat="true" ht="13.5"/>
    <row r="14334" s="96" customFormat="true" ht="13.5"/>
    <row r="14335" s="96" customFormat="true" ht="13.5"/>
    <row r="14336" s="96" customFormat="true" ht="13.5"/>
    <row r="14337" s="96" customFormat="true" ht="13.5"/>
    <row r="14338" s="96" customFormat="true" ht="13.5"/>
    <row r="14339" s="96" customFormat="true" ht="13.5"/>
    <row r="14340" s="96" customFormat="true" ht="13.5"/>
    <row r="14341" s="96" customFormat="true" ht="13.5"/>
    <row r="14342" s="96" customFormat="true" ht="13.5"/>
    <row r="14343" s="96" customFormat="true" ht="13.5"/>
    <row r="14344" s="96" customFormat="true" ht="13.5"/>
    <row r="14345" s="96" customFormat="true" ht="13.5"/>
    <row r="14346" s="96" customFormat="true" ht="13.5"/>
    <row r="14347" s="96" customFormat="true" ht="13.5"/>
    <row r="14348" s="96" customFormat="true" ht="13.5"/>
    <row r="14349" s="96" customFormat="true" ht="13.5"/>
    <row r="14350" s="96" customFormat="true" ht="13.5"/>
    <row r="14351" s="96" customFormat="true" ht="13.5"/>
    <row r="14352" s="96" customFormat="true" ht="13.5"/>
    <row r="14353" s="96" customFormat="true" ht="13.5"/>
    <row r="14354" s="96" customFormat="true" ht="13.5"/>
    <row r="14355" s="96" customFormat="true" ht="13.5"/>
    <row r="14356" s="96" customFormat="true" ht="13.5"/>
    <row r="14357" s="96" customFormat="true" ht="13.5"/>
    <row r="14358" s="96" customFormat="true" ht="13.5"/>
    <row r="14359" s="96" customFormat="true" ht="13.5"/>
    <row r="14360" s="96" customFormat="true" ht="13.5"/>
    <row r="14361" s="96" customFormat="true" ht="13.5"/>
    <row r="14362" s="96" customFormat="true" ht="13.5"/>
    <row r="14363" s="96" customFormat="true" ht="13.5"/>
    <row r="14364" s="96" customFormat="true" ht="13.5"/>
    <row r="14365" s="96" customFormat="true" ht="13.5"/>
    <row r="14366" s="96" customFormat="true" ht="13.5"/>
    <row r="14367" s="96" customFormat="true" ht="13.5"/>
    <row r="14368" s="96" customFormat="true" ht="13.5"/>
    <row r="14369" s="96" customFormat="true" ht="13.5"/>
    <row r="14370" s="96" customFormat="true" ht="13.5"/>
    <row r="14371" s="96" customFormat="true" ht="13.5"/>
    <row r="14372" s="96" customFormat="true" ht="13.5"/>
    <row r="14373" s="96" customFormat="true" ht="13.5"/>
    <row r="14374" s="96" customFormat="true" ht="13.5"/>
    <row r="14375" s="96" customFormat="true" ht="13.5"/>
    <row r="14376" s="96" customFormat="true" ht="13.5"/>
    <row r="14377" s="96" customFormat="true" ht="13.5"/>
    <row r="14378" s="96" customFormat="true" ht="13.5"/>
    <row r="14379" s="96" customFormat="true" ht="13.5"/>
    <row r="14380" s="96" customFormat="true" ht="13.5"/>
    <row r="14381" s="96" customFormat="true" ht="13.5"/>
    <row r="14382" s="96" customFormat="true" ht="13.5"/>
    <row r="14383" s="96" customFormat="true" ht="13.5"/>
    <row r="14384" s="96" customFormat="true" ht="13.5"/>
    <row r="14385" s="96" customFormat="true" ht="13.5"/>
    <row r="14386" s="96" customFormat="true" ht="13.5"/>
    <row r="14387" s="96" customFormat="true" ht="13.5"/>
    <row r="14388" s="96" customFormat="true" ht="13.5"/>
    <row r="14389" s="96" customFormat="true" ht="13.5"/>
    <row r="14390" s="96" customFormat="true" ht="13.5"/>
    <row r="14391" s="96" customFormat="true" ht="13.5"/>
    <row r="14392" s="96" customFormat="true" ht="13.5"/>
    <row r="14393" s="96" customFormat="true" ht="13.5"/>
    <row r="14394" s="96" customFormat="true" ht="13.5"/>
    <row r="14395" s="96" customFormat="true" ht="13.5"/>
    <row r="14396" s="96" customFormat="true" ht="13.5"/>
    <row r="14397" s="96" customFormat="true" ht="13.5"/>
    <row r="14398" s="96" customFormat="true" ht="13.5"/>
    <row r="14399" s="96" customFormat="true" ht="13.5"/>
    <row r="14400" s="96" customFormat="true" ht="13.5"/>
    <row r="14401" s="96" customFormat="true" ht="13.5"/>
    <row r="14402" s="96" customFormat="true" ht="13.5"/>
    <row r="14403" s="96" customFormat="true" ht="13.5"/>
    <row r="14404" s="96" customFormat="true" ht="13.5"/>
    <row r="14405" s="96" customFormat="true" ht="13.5"/>
    <row r="14406" s="96" customFormat="true" ht="13.5"/>
    <row r="14407" s="96" customFormat="true" ht="13.5"/>
    <row r="14408" s="96" customFormat="true" ht="13.5"/>
    <row r="14409" s="96" customFormat="true" ht="13.5"/>
    <row r="14410" s="96" customFormat="true" ht="13.5"/>
    <row r="14411" s="96" customFormat="true" ht="13.5"/>
    <row r="14412" s="96" customFormat="true" ht="13.5"/>
    <row r="14413" s="96" customFormat="true" ht="13.5"/>
    <row r="14414" s="96" customFormat="true" ht="13.5"/>
    <row r="14415" s="96" customFormat="true" ht="13.5"/>
    <row r="14416" s="96" customFormat="true" ht="13.5"/>
    <row r="14417" s="96" customFormat="true" ht="13.5"/>
    <row r="14418" s="96" customFormat="true" ht="13.5"/>
    <row r="14419" s="96" customFormat="true" ht="13.5"/>
    <row r="14420" s="96" customFormat="true" ht="13.5"/>
    <row r="14421" s="96" customFormat="true" ht="13.5"/>
    <row r="14422" s="96" customFormat="true" ht="13.5"/>
    <row r="14423" s="96" customFormat="true" ht="13.5"/>
    <row r="14424" s="96" customFormat="true" ht="13.5"/>
    <row r="14425" s="96" customFormat="true" ht="13.5"/>
    <row r="14426" s="96" customFormat="true" ht="13.5"/>
    <row r="14427" s="96" customFormat="true" ht="13.5"/>
    <row r="14428" s="96" customFormat="true" ht="13.5"/>
    <row r="14429" s="96" customFormat="true" ht="13.5"/>
    <row r="14430" s="96" customFormat="true" ht="13.5"/>
    <row r="14431" s="96" customFormat="true" ht="13.5"/>
    <row r="14432" s="96" customFormat="true" ht="13.5"/>
    <row r="14433" s="96" customFormat="true" ht="13.5"/>
    <row r="14434" s="96" customFormat="true" ht="13.5"/>
    <row r="14435" s="96" customFormat="true" ht="13.5"/>
    <row r="14436" s="96" customFormat="true" ht="13.5"/>
    <row r="14437" s="96" customFormat="true" ht="13.5"/>
    <row r="14438" s="96" customFormat="true" ht="13.5"/>
    <row r="14439" s="96" customFormat="true" ht="13.5"/>
    <row r="14440" s="96" customFormat="true" ht="13.5"/>
    <row r="14441" s="96" customFormat="true" ht="13.5"/>
    <row r="14442" s="96" customFormat="true" ht="13.5"/>
    <row r="14443" s="96" customFormat="true" ht="13.5"/>
    <row r="14444" s="96" customFormat="true" ht="13.5"/>
    <row r="14445" s="96" customFormat="true" ht="13.5"/>
    <row r="14446" s="96" customFormat="true" ht="13.5"/>
    <row r="14447" s="96" customFormat="true" ht="13.5"/>
    <row r="14448" s="96" customFormat="true" ht="13.5"/>
    <row r="14449" s="96" customFormat="true" ht="13.5"/>
    <row r="14450" s="96" customFormat="true" ht="13.5"/>
    <row r="14451" s="96" customFormat="true" ht="13.5"/>
    <row r="14452" s="96" customFormat="true" ht="13.5"/>
    <row r="14453" s="96" customFormat="true" ht="13.5"/>
    <row r="14454" s="96" customFormat="true" ht="13.5"/>
    <row r="14455" s="96" customFormat="true" ht="13.5"/>
    <row r="14456" s="96" customFormat="true" ht="13.5"/>
    <row r="14457" s="96" customFormat="true" ht="13.5"/>
    <row r="14458" s="96" customFormat="true" ht="13.5"/>
    <row r="14459" s="96" customFormat="true" ht="13.5"/>
    <row r="14460" s="96" customFormat="true" ht="13.5"/>
    <row r="14461" s="96" customFormat="true" ht="13.5"/>
    <row r="14462" s="96" customFormat="true" ht="13.5"/>
    <row r="14463" s="96" customFormat="true" ht="13.5"/>
    <row r="14464" s="96" customFormat="true" ht="13.5"/>
    <row r="14465" s="96" customFormat="true" ht="13.5"/>
    <row r="14466" s="96" customFormat="true" ht="13.5"/>
    <row r="14467" s="96" customFormat="true" ht="13.5"/>
    <row r="14468" s="96" customFormat="true" ht="13.5"/>
    <row r="14469" s="96" customFormat="true" ht="13.5"/>
    <row r="14470" s="96" customFormat="true" ht="13.5"/>
    <row r="14471" s="96" customFormat="true" ht="13.5"/>
    <row r="14472" s="96" customFormat="true" ht="13.5"/>
    <row r="14473" s="96" customFormat="true" ht="13.5"/>
    <row r="14474" s="96" customFormat="true" ht="13.5"/>
    <row r="14475" s="96" customFormat="true" ht="13.5"/>
    <row r="14476" s="96" customFormat="true" ht="13.5"/>
    <row r="14477" s="96" customFormat="true" ht="13.5"/>
    <row r="14478" s="96" customFormat="true" ht="13.5"/>
    <row r="14479" s="96" customFormat="true" ht="13.5"/>
    <row r="14480" s="96" customFormat="true" ht="13.5"/>
    <row r="14481" s="96" customFormat="true" ht="13.5"/>
    <row r="14482" s="96" customFormat="true" ht="13.5"/>
    <row r="14483" s="96" customFormat="true" ht="13.5"/>
    <row r="14484" s="96" customFormat="true" ht="13.5"/>
    <row r="14485" s="96" customFormat="true" ht="13.5"/>
    <row r="14486" s="96" customFormat="true" ht="13.5"/>
    <row r="14487" s="96" customFormat="true" ht="13.5"/>
    <row r="14488" s="96" customFormat="true" ht="13.5"/>
    <row r="14489" s="96" customFormat="true" ht="13.5"/>
    <row r="14490" s="96" customFormat="true" ht="13.5"/>
    <row r="14491" s="96" customFormat="true" ht="13.5"/>
    <row r="14492" s="96" customFormat="true" ht="13.5"/>
    <row r="14493" s="96" customFormat="true" ht="13.5"/>
    <row r="14494" s="96" customFormat="true" ht="13.5"/>
    <row r="14495" s="96" customFormat="true" ht="13.5"/>
    <row r="14496" s="96" customFormat="true" ht="13.5"/>
    <row r="14497" s="96" customFormat="true" ht="13.5"/>
    <row r="14498" s="96" customFormat="true" ht="13.5"/>
    <row r="14499" s="96" customFormat="true" ht="13.5"/>
    <row r="14500" s="96" customFormat="true" ht="13.5"/>
    <row r="14501" s="96" customFormat="true" ht="13.5"/>
    <row r="14502" s="96" customFormat="true" ht="13.5"/>
    <row r="14503" s="96" customFormat="true" ht="13.5"/>
    <row r="14504" s="96" customFormat="true" ht="13.5"/>
    <row r="14505" s="96" customFormat="true" ht="13.5"/>
    <row r="14506" s="96" customFormat="true" ht="13.5"/>
    <row r="14507" s="96" customFormat="true" ht="13.5"/>
    <row r="14508" s="96" customFormat="true" ht="13.5"/>
    <row r="14509" s="96" customFormat="true" ht="13.5"/>
    <row r="14510" s="96" customFormat="true" ht="13.5"/>
    <row r="14511" s="96" customFormat="true" ht="13.5"/>
    <row r="14512" s="96" customFormat="true" ht="13.5"/>
    <row r="14513" s="96" customFormat="true" ht="13.5"/>
    <row r="14514" s="96" customFormat="true" ht="13.5"/>
    <row r="14515" s="96" customFormat="true" ht="13.5"/>
    <row r="14516" s="96" customFormat="true" ht="13.5"/>
    <row r="14517" s="96" customFormat="true" ht="13.5"/>
    <row r="14518" s="96" customFormat="true" ht="13.5"/>
    <row r="14519" s="96" customFormat="true" ht="13.5"/>
    <row r="14520" s="96" customFormat="true" ht="13.5"/>
    <row r="14521" s="96" customFormat="true" ht="13.5"/>
    <row r="14522" s="96" customFormat="true" ht="13.5"/>
    <row r="14523" s="96" customFormat="true" ht="13.5"/>
    <row r="14524" s="96" customFormat="true" ht="13.5"/>
    <row r="14525" s="96" customFormat="true" ht="13.5"/>
    <row r="14526" s="96" customFormat="true" ht="13.5"/>
    <row r="14527" s="96" customFormat="true" ht="13.5"/>
    <row r="14528" s="96" customFormat="true" ht="13.5"/>
    <row r="14529" s="96" customFormat="true" ht="13.5"/>
    <row r="14530" s="96" customFormat="true" ht="13.5"/>
    <row r="14531" s="96" customFormat="true" ht="13.5"/>
    <row r="14532" s="96" customFormat="true" ht="13.5"/>
    <row r="14533" s="96" customFormat="true" ht="13.5"/>
    <row r="14534" s="96" customFormat="true" ht="13.5"/>
    <row r="14535" s="96" customFormat="true" ht="13.5"/>
    <row r="14536" s="96" customFormat="true" ht="13.5"/>
    <row r="14537" s="96" customFormat="true" ht="13.5"/>
    <row r="14538" s="96" customFormat="true" ht="13.5"/>
    <row r="14539" s="96" customFormat="true" ht="13.5"/>
    <row r="14540" s="96" customFormat="true" ht="13.5"/>
    <row r="14541" s="96" customFormat="true" ht="13.5"/>
    <row r="14542" s="96" customFormat="true" ht="13.5"/>
    <row r="14543" s="96" customFormat="true" ht="13.5"/>
    <row r="14544" s="96" customFormat="true" ht="13.5"/>
    <row r="14545" s="96" customFormat="true" ht="13.5"/>
    <row r="14546" s="96" customFormat="true" ht="13.5"/>
    <row r="14547" s="96" customFormat="true" ht="13.5"/>
    <row r="14548" s="96" customFormat="true" ht="13.5"/>
    <row r="14549" s="96" customFormat="true" ht="13.5"/>
    <row r="14550" s="96" customFormat="true" ht="13.5"/>
    <row r="14551" s="96" customFormat="true" ht="13.5"/>
    <row r="14552" s="96" customFormat="true" ht="13.5"/>
    <row r="14553" s="96" customFormat="true" ht="13.5"/>
    <row r="14554" s="96" customFormat="true" ht="13.5"/>
    <row r="14555" s="96" customFormat="true" ht="13.5"/>
    <row r="14556" s="96" customFormat="true" ht="13.5"/>
    <row r="14557" s="96" customFormat="true" ht="13.5"/>
    <row r="14558" s="96" customFormat="true" ht="13.5"/>
    <row r="14559" s="96" customFormat="true" ht="13.5"/>
    <row r="14560" s="96" customFormat="true" ht="13.5"/>
    <row r="14561" s="96" customFormat="true" ht="13.5"/>
    <row r="14562" s="96" customFormat="true" ht="13.5"/>
    <row r="14563" s="96" customFormat="true" ht="13.5"/>
    <row r="14564" s="96" customFormat="true" ht="13.5"/>
    <row r="14565" s="96" customFormat="true" ht="13.5"/>
    <row r="14566" s="96" customFormat="true" ht="13.5"/>
    <row r="14567" s="96" customFormat="true" ht="13.5"/>
    <row r="14568" s="96" customFormat="true" ht="13.5"/>
    <row r="14569" s="96" customFormat="true" ht="13.5"/>
    <row r="14570" s="96" customFormat="true" ht="13.5"/>
    <row r="14571" s="96" customFormat="true" ht="13.5"/>
    <row r="14572" s="96" customFormat="true" ht="13.5"/>
    <row r="14573" s="96" customFormat="true" ht="13.5"/>
    <row r="14574" s="96" customFormat="true" ht="13.5"/>
    <row r="14575" s="96" customFormat="true" ht="13.5"/>
    <row r="14576" s="96" customFormat="true" ht="13.5"/>
    <row r="14577" s="96" customFormat="true" ht="13.5"/>
    <row r="14578" s="96" customFormat="true" ht="13.5"/>
    <row r="14579" s="96" customFormat="true" ht="13.5"/>
    <row r="14580" s="96" customFormat="true" ht="13.5"/>
    <row r="14581" s="96" customFormat="true" ht="13.5"/>
    <row r="14582" s="96" customFormat="true" ht="13.5"/>
    <row r="14583" s="96" customFormat="true" ht="13.5"/>
    <row r="14584" s="96" customFormat="true" ht="13.5"/>
    <row r="14585" s="96" customFormat="true" ht="13.5"/>
    <row r="14586" s="96" customFormat="true" ht="13.5"/>
    <row r="14587" s="96" customFormat="true" ht="13.5"/>
    <row r="14588" s="96" customFormat="true" ht="13.5"/>
    <row r="14589" s="96" customFormat="true" ht="13.5"/>
    <row r="14590" s="96" customFormat="true" ht="13.5"/>
    <row r="14591" s="96" customFormat="true" ht="13.5"/>
    <row r="14592" s="96" customFormat="true" ht="13.5"/>
    <row r="14593" s="96" customFormat="true" ht="13.5"/>
    <row r="14594" s="96" customFormat="true" ht="13.5"/>
    <row r="14595" s="96" customFormat="true" ht="13.5"/>
    <row r="14596" s="96" customFormat="true" ht="13.5"/>
    <row r="14597" s="96" customFormat="true" ht="13.5"/>
    <row r="14598" s="96" customFormat="true" ht="13.5"/>
    <row r="14599" s="96" customFormat="true" ht="13.5"/>
    <row r="14600" s="96" customFormat="true" ht="13.5"/>
    <row r="14601" s="96" customFormat="true" ht="13.5"/>
    <row r="14602" s="96" customFormat="true" ht="13.5"/>
    <row r="14603" s="96" customFormat="true" ht="13.5"/>
    <row r="14604" s="96" customFormat="true" ht="13.5"/>
    <row r="14605" s="96" customFormat="true" ht="13.5"/>
    <row r="14606" s="96" customFormat="true" ht="13.5"/>
    <row r="14607" s="96" customFormat="true" ht="13.5"/>
    <row r="14608" s="96" customFormat="true" ht="13.5"/>
    <row r="14609" s="96" customFormat="true" ht="13.5"/>
    <row r="14610" s="96" customFormat="true" ht="13.5"/>
    <row r="14611" s="96" customFormat="true" ht="13.5"/>
    <row r="14612" s="96" customFormat="true" ht="13.5"/>
    <row r="14613" s="96" customFormat="true" ht="13.5"/>
    <row r="14614" s="96" customFormat="true" ht="13.5"/>
    <row r="14615" s="96" customFormat="true" ht="13.5"/>
    <row r="14616" s="96" customFormat="true" ht="13.5"/>
    <row r="14617" s="96" customFormat="true" ht="13.5"/>
    <row r="14618" s="96" customFormat="true" ht="13.5"/>
    <row r="14619" s="96" customFormat="true" ht="13.5"/>
    <row r="14620" s="96" customFormat="true" ht="13.5"/>
    <row r="14621" s="96" customFormat="true" ht="13.5"/>
    <row r="14622" s="96" customFormat="true" ht="13.5"/>
    <row r="14623" s="96" customFormat="true" ht="13.5"/>
    <row r="14624" s="96" customFormat="true" ht="13.5"/>
    <row r="14625" s="96" customFormat="true" ht="13.5"/>
    <row r="14626" s="96" customFormat="true" ht="13.5"/>
    <row r="14627" s="96" customFormat="true" ht="13.5"/>
    <row r="14628" s="96" customFormat="true" ht="13.5"/>
    <row r="14629" s="96" customFormat="true" ht="13.5"/>
    <row r="14630" s="96" customFormat="true" ht="13.5"/>
    <row r="14631" s="96" customFormat="true" ht="13.5"/>
    <row r="14632" s="96" customFormat="true" ht="13.5"/>
    <row r="14633" s="96" customFormat="true" ht="13.5"/>
    <row r="14634" s="96" customFormat="true" ht="13.5"/>
    <row r="14635" s="96" customFormat="true" ht="13.5"/>
    <row r="14636" s="96" customFormat="true" ht="13.5"/>
    <row r="14637" s="96" customFormat="true" ht="13.5"/>
    <row r="14638" s="96" customFormat="true" ht="13.5"/>
    <row r="14639" s="96" customFormat="true" ht="13.5"/>
    <row r="14640" s="96" customFormat="true" ht="13.5"/>
    <row r="14641" s="96" customFormat="true" ht="13.5"/>
    <row r="14642" s="96" customFormat="true" ht="13.5"/>
    <row r="14643" s="96" customFormat="true" ht="13.5"/>
    <row r="14644" s="96" customFormat="true" ht="13.5"/>
    <row r="14645" s="96" customFormat="true" ht="13.5"/>
    <row r="14646" s="96" customFormat="true" ht="13.5"/>
    <row r="14647" s="96" customFormat="true" ht="13.5"/>
    <row r="14648" s="96" customFormat="true" ht="13.5"/>
    <row r="14649" s="96" customFormat="true" ht="13.5"/>
    <row r="14650" s="96" customFormat="true" ht="13.5"/>
    <row r="14651" s="96" customFormat="true" ht="13.5"/>
    <row r="14652" s="96" customFormat="true" ht="13.5"/>
    <row r="14653" s="96" customFormat="true" ht="13.5"/>
    <row r="14654" s="96" customFormat="true" ht="13.5"/>
    <row r="14655" s="96" customFormat="true" ht="13.5"/>
    <row r="14656" s="96" customFormat="true" ht="13.5"/>
    <row r="14657" s="96" customFormat="true" ht="13.5"/>
    <row r="14658" s="96" customFormat="true" ht="13.5"/>
    <row r="14659" s="96" customFormat="true" ht="13.5"/>
    <row r="14660" s="96" customFormat="true" ht="13.5"/>
    <row r="14661" s="96" customFormat="true" ht="13.5"/>
    <row r="14662" s="96" customFormat="true" ht="13.5"/>
    <row r="14663" s="96" customFormat="true" ht="13.5"/>
    <row r="14664" s="96" customFormat="true" ht="13.5"/>
    <row r="14665" s="96" customFormat="true" ht="13.5"/>
    <row r="14666" s="96" customFormat="true" ht="13.5"/>
    <row r="14667" s="96" customFormat="true" ht="13.5"/>
    <row r="14668" s="96" customFormat="true" ht="13.5"/>
    <row r="14669" s="96" customFormat="true" ht="13.5"/>
    <row r="14670" s="96" customFormat="true" ht="13.5"/>
    <row r="14671" s="96" customFormat="true" ht="13.5"/>
    <row r="14672" s="96" customFormat="true" ht="13.5"/>
    <row r="14673" s="96" customFormat="true" ht="13.5"/>
    <row r="14674" s="96" customFormat="true" ht="13.5"/>
    <row r="14675" s="96" customFormat="true" ht="13.5"/>
    <row r="14676" s="96" customFormat="true" ht="13.5"/>
    <row r="14677" s="96" customFormat="true" ht="13.5"/>
    <row r="14678" s="96" customFormat="true" ht="13.5"/>
    <row r="14679" s="96" customFormat="true" ht="13.5"/>
    <row r="14680" s="96" customFormat="true" ht="13.5"/>
    <row r="14681" s="96" customFormat="true" ht="13.5"/>
    <row r="14682" s="96" customFormat="true" ht="13.5"/>
    <row r="14683" s="96" customFormat="true" ht="13.5"/>
    <row r="14684" s="96" customFormat="true" ht="13.5"/>
    <row r="14685" s="96" customFormat="true" ht="13.5"/>
    <row r="14686" s="96" customFormat="true" ht="13.5"/>
    <row r="14687" s="96" customFormat="true" ht="13.5"/>
    <row r="14688" s="96" customFormat="true" ht="13.5"/>
    <row r="14689" s="96" customFormat="true" ht="13.5"/>
    <row r="14690" s="96" customFormat="true" ht="13.5"/>
    <row r="14691" s="96" customFormat="true" ht="13.5"/>
    <row r="14692" s="96" customFormat="true" ht="13.5"/>
    <row r="14693" s="96" customFormat="true" ht="13.5"/>
    <row r="14694" s="96" customFormat="true" ht="13.5"/>
    <row r="14695" s="96" customFormat="true" ht="13.5"/>
    <row r="14696" s="96" customFormat="true" ht="13.5"/>
    <row r="14697" s="96" customFormat="true" ht="13.5"/>
    <row r="14698" s="96" customFormat="true" ht="13.5"/>
    <row r="14699" s="96" customFormat="true" ht="13.5"/>
    <row r="14700" s="96" customFormat="true" ht="13.5"/>
    <row r="14701" s="96" customFormat="true" ht="13.5"/>
    <row r="14702" s="96" customFormat="true" ht="13.5"/>
    <row r="14703" s="96" customFormat="true" ht="13.5"/>
    <row r="14704" s="96" customFormat="true" ht="13.5"/>
    <row r="14705" s="96" customFormat="true" ht="13.5"/>
    <row r="14706" s="96" customFormat="true" ht="13.5"/>
    <row r="14707" s="96" customFormat="true" ht="13.5"/>
    <row r="14708" s="96" customFormat="true" ht="13.5"/>
    <row r="14709" s="96" customFormat="true" ht="13.5"/>
    <row r="14710" s="96" customFormat="true" ht="13.5"/>
    <row r="14711" s="96" customFormat="true" ht="13.5"/>
    <row r="14712" s="96" customFormat="true" ht="13.5"/>
    <row r="14713" s="96" customFormat="true" ht="13.5"/>
    <row r="14714" s="96" customFormat="true" ht="13.5"/>
    <row r="14715" s="96" customFormat="true" ht="13.5"/>
    <row r="14716" s="96" customFormat="true" ht="13.5"/>
    <row r="14717" s="96" customFormat="true" ht="13.5"/>
    <row r="14718" s="96" customFormat="true" ht="13.5"/>
    <row r="14719" s="96" customFormat="true" ht="13.5"/>
    <row r="14720" s="96" customFormat="true" ht="13.5"/>
    <row r="14721" s="96" customFormat="true" ht="13.5"/>
    <row r="14722" s="96" customFormat="true" ht="13.5"/>
    <row r="14723" s="96" customFormat="true" ht="13.5"/>
    <row r="14724" s="96" customFormat="true" ht="13.5"/>
    <row r="14725" s="96" customFormat="true" ht="13.5"/>
    <row r="14726" s="96" customFormat="true" ht="13.5"/>
    <row r="14727" s="96" customFormat="true" ht="13.5"/>
    <row r="14728" s="96" customFormat="true" ht="13.5"/>
    <row r="14729" s="96" customFormat="true" ht="13.5"/>
    <row r="14730" s="96" customFormat="true" ht="13.5"/>
    <row r="14731" s="96" customFormat="true" ht="13.5"/>
    <row r="14732" s="96" customFormat="true" ht="13.5"/>
    <row r="14733" s="96" customFormat="true" ht="13.5"/>
    <row r="14734" s="96" customFormat="true" ht="13.5"/>
    <row r="14735" s="96" customFormat="true" ht="13.5"/>
    <row r="14736" s="96" customFormat="true" ht="13.5"/>
    <row r="14737" s="96" customFormat="true" ht="13.5"/>
    <row r="14738" s="96" customFormat="true" ht="13.5"/>
    <row r="14739" s="96" customFormat="true" ht="13.5"/>
    <row r="14740" s="96" customFormat="true" ht="13.5"/>
    <row r="14741" s="96" customFormat="true" ht="13.5"/>
    <row r="14742" s="96" customFormat="true" ht="13.5"/>
    <row r="14743" s="96" customFormat="true" ht="13.5"/>
    <row r="14744" s="96" customFormat="true" ht="13.5"/>
    <row r="14745" s="96" customFormat="true" ht="13.5"/>
    <row r="14746" s="96" customFormat="true" ht="13.5"/>
    <row r="14747" s="96" customFormat="true" ht="13.5"/>
    <row r="14748" s="96" customFormat="true" ht="13.5"/>
    <row r="14749" s="96" customFormat="true" ht="13.5"/>
    <row r="14750" s="96" customFormat="true" ht="13.5"/>
    <row r="14751" s="96" customFormat="true" ht="13.5"/>
    <row r="14752" s="96" customFormat="true" ht="13.5"/>
    <row r="14753" s="96" customFormat="true" ht="13.5"/>
    <row r="14754" s="96" customFormat="true" ht="13.5"/>
    <row r="14755" s="96" customFormat="true" ht="13.5"/>
    <row r="14756" s="96" customFormat="true" ht="13.5"/>
    <row r="14757" s="96" customFormat="true" ht="13.5"/>
    <row r="14758" s="96" customFormat="true" ht="13.5"/>
    <row r="14759" s="96" customFormat="true" ht="13.5"/>
    <row r="14760" s="96" customFormat="true" ht="13.5"/>
    <row r="14761" s="96" customFormat="true" ht="13.5"/>
    <row r="14762" s="96" customFormat="true" ht="13.5"/>
    <row r="14763" s="96" customFormat="true" ht="13.5"/>
    <row r="14764" s="96" customFormat="true" ht="13.5"/>
    <row r="14765" s="96" customFormat="true" ht="13.5"/>
    <row r="14766" s="96" customFormat="true" ht="13.5"/>
    <row r="14767" s="96" customFormat="true" ht="13.5"/>
    <row r="14768" s="96" customFormat="true" ht="13.5"/>
    <row r="14769" s="96" customFormat="true" ht="13.5"/>
    <row r="14770" s="96" customFormat="true" ht="13.5"/>
    <row r="14771" s="96" customFormat="true" ht="13.5"/>
    <row r="14772" s="96" customFormat="true" ht="13.5"/>
    <row r="14773" s="96" customFormat="true" ht="13.5"/>
    <row r="14774" s="96" customFormat="true" ht="13.5"/>
    <row r="14775" s="96" customFormat="true" ht="13.5"/>
    <row r="14776" s="96" customFormat="true" ht="13.5"/>
    <row r="14777" s="96" customFormat="true" ht="13.5"/>
    <row r="14778" s="96" customFormat="true" ht="13.5"/>
    <row r="14779" s="96" customFormat="true" ht="13.5"/>
    <row r="14780" s="96" customFormat="true" ht="13.5"/>
    <row r="14781" s="96" customFormat="true" ht="13.5"/>
    <row r="14782" s="96" customFormat="true" ht="13.5"/>
    <row r="14783" s="96" customFormat="true" ht="13.5"/>
    <row r="14784" s="96" customFormat="true" ht="13.5"/>
    <row r="14785" s="96" customFormat="true" ht="13.5"/>
    <row r="14786" s="96" customFormat="true" ht="13.5"/>
    <row r="14787" s="96" customFormat="true" ht="13.5"/>
    <row r="14788" s="96" customFormat="true" ht="13.5"/>
    <row r="14789" s="96" customFormat="true" ht="13.5"/>
    <row r="14790" s="96" customFormat="true" ht="13.5"/>
    <row r="14791" s="96" customFormat="true" ht="13.5"/>
    <row r="14792" s="96" customFormat="true" ht="13.5"/>
    <row r="14793" s="96" customFormat="true" ht="13.5"/>
    <row r="14794" s="96" customFormat="true" ht="13.5"/>
    <row r="14795" s="96" customFormat="true" ht="13.5"/>
    <row r="14796" s="96" customFormat="true" ht="13.5"/>
    <row r="14797" s="96" customFormat="true" ht="13.5"/>
    <row r="14798" s="96" customFormat="true" ht="13.5"/>
    <row r="14799" s="96" customFormat="true" ht="13.5"/>
    <row r="14800" s="96" customFormat="true" ht="13.5"/>
    <row r="14801" s="96" customFormat="true" ht="13.5"/>
    <row r="14802" s="96" customFormat="true" ht="13.5"/>
    <row r="14803" s="96" customFormat="true" ht="13.5"/>
    <row r="14804" s="96" customFormat="true" ht="13.5"/>
    <row r="14805" s="96" customFormat="true" ht="13.5"/>
    <row r="14806" s="96" customFormat="true" ht="13.5"/>
    <row r="14807" s="96" customFormat="true" ht="13.5"/>
    <row r="14808" s="96" customFormat="true" ht="13.5"/>
    <row r="14809" s="96" customFormat="true" ht="13.5"/>
    <row r="14810" s="96" customFormat="true" ht="13.5"/>
    <row r="14811" s="96" customFormat="true" ht="13.5"/>
    <row r="14812" s="96" customFormat="true" ht="13.5"/>
    <row r="14813" s="96" customFormat="true" ht="13.5"/>
    <row r="14814" s="96" customFormat="true" ht="13.5"/>
    <row r="14815" s="96" customFormat="true" ht="13.5"/>
    <row r="14816" s="96" customFormat="true" ht="13.5"/>
    <row r="14817" s="96" customFormat="true" ht="13.5"/>
    <row r="14818" s="96" customFormat="true" ht="13.5"/>
    <row r="14819" s="96" customFormat="true" ht="13.5"/>
    <row r="14820" s="96" customFormat="true" ht="13.5"/>
    <row r="14821" s="96" customFormat="true" ht="13.5"/>
    <row r="14822" s="96" customFormat="true" ht="13.5"/>
    <row r="14823" s="96" customFormat="true" ht="13.5"/>
    <row r="14824" s="96" customFormat="true" ht="13.5"/>
    <row r="14825" s="96" customFormat="true" ht="13.5"/>
    <row r="14826" s="96" customFormat="true" ht="13.5"/>
    <row r="14827" s="96" customFormat="true" ht="13.5"/>
    <row r="14828" s="96" customFormat="true" ht="13.5"/>
    <row r="14829" s="96" customFormat="true" ht="13.5"/>
    <row r="14830" s="96" customFormat="true" ht="13.5"/>
    <row r="14831" s="96" customFormat="true" ht="13.5"/>
    <row r="14832" s="96" customFormat="true" ht="13.5"/>
    <row r="14833" s="96" customFormat="true" ht="13.5"/>
    <row r="14834" s="96" customFormat="true" ht="13.5"/>
    <row r="14835" s="96" customFormat="true" ht="13.5"/>
    <row r="14836" s="96" customFormat="true" ht="13.5"/>
    <row r="14837" s="96" customFormat="true" ht="13.5"/>
    <row r="14838" s="96" customFormat="true" ht="13.5"/>
    <row r="14839" s="96" customFormat="true" ht="13.5"/>
    <row r="14840" s="96" customFormat="true" ht="13.5"/>
    <row r="14841" s="96" customFormat="true" ht="13.5"/>
    <row r="14842" s="96" customFormat="true" ht="13.5"/>
    <row r="14843" s="96" customFormat="true" ht="13.5"/>
    <row r="14844" s="96" customFormat="true" ht="13.5"/>
    <row r="14845" s="96" customFormat="true" ht="13.5"/>
    <row r="14846" s="96" customFormat="true" ht="13.5"/>
    <row r="14847" s="96" customFormat="true" ht="13.5"/>
    <row r="14848" s="96" customFormat="true" ht="13.5"/>
    <row r="14849" s="96" customFormat="true" ht="13.5"/>
    <row r="14850" s="96" customFormat="true" ht="13.5"/>
    <row r="14851" s="96" customFormat="true" ht="13.5"/>
    <row r="14852" s="96" customFormat="true" ht="13.5"/>
    <row r="14853" s="96" customFormat="true" ht="13.5"/>
    <row r="14854" s="96" customFormat="true" ht="13.5"/>
    <row r="14855" s="96" customFormat="true" ht="13.5"/>
    <row r="14856" s="96" customFormat="true" ht="13.5"/>
    <row r="14857" s="96" customFormat="true" ht="13.5"/>
    <row r="14858" s="96" customFormat="true" ht="13.5"/>
    <row r="14859" s="96" customFormat="true" ht="13.5"/>
    <row r="14860" s="96" customFormat="true" ht="13.5"/>
    <row r="14861" s="96" customFormat="true" ht="13.5"/>
    <row r="14862" s="96" customFormat="true" ht="13.5"/>
    <row r="14863" s="96" customFormat="true" ht="13.5"/>
    <row r="14864" s="96" customFormat="true" ht="13.5"/>
    <row r="14865" s="96" customFormat="true" ht="13.5"/>
    <row r="14866" s="96" customFormat="true" ht="13.5"/>
    <row r="14867" s="96" customFormat="true" ht="13.5"/>
    <row r="14868" s="96" customFormat="true" ht="13.5"/>
    <row r="14869" s="96" customFormat="true" ht="13.5"/>
    <row r="14870" s="96" customFormat="true" ht="13.5"/>
    <row r="14871" s="96" customFormat="true" ht="13.5"/>
    <row r="14872" s="96" customFormat="true" ht="13.5"/>
    <row r="14873" s="96" customFormat="true" ht="13.5"/>
    <row r="14874" s="96" customFormat="true" ht="13.5"/>
    <row r="14875" s="96" customFormat="true" ht="13.5"/>
    <row r="14876" s="96" customFormat="true" ht="13.5"/>
    <row r="14877" s="96" customFormat="true" ht="13.5"/>
    <row r="14878" s="96" customFormat="true" ht="13.5"/>
    <row r="14879" s="96" customFormat="true" ht="13.5"/>
    <row r="14880" s="96" customFormat="true" ht="13.5"/>
    <row r="14881" s="96" customFormat="true" ht="13.5"/>
    <row r="14882" s="96" customFormat="true" ht="13.5"/>
    <row r="14883" s="96" customFormat="true" ht="13.5"/>
    <row r="14884" s="96" customFormat="true" ht="13.5"/>
    <row r="14885" s="96" customFormat="true" ht="13.5"/>
    <row r="14886" s="96" customFormat="true" ht="13.5"/>
    <row r="14887" s="96" customFormat="true" ht="13.5"/>
    <row r="14888" s="96" customFormat="true" ht="13.5"/>
    <row r="14889" s="96" customFormat="true" ht="13.5"/>
    <row r="14890" s="96" customFormat="true" ht="13.5"/>
    <row r="14891" s="96" customFormat="true" ht="13.5"/>
    <row r="14892" s="96" customFormat="true" ht="13.5"/>
    <row r="14893" s="96" customFormat="true" ht="13.5"/>
    <row r="14894" s="96" customFormat="true" ht="13.5"/>
    <row r="14895" s="96" customFormat="true" ht="13.5"/>
    <row r="14896" s="96" customFormat="true" ht="13.5"/>
    <row r="14897" s="96" customFormat="true" ht="13.5"/>
    <row r="14898" s="96" customFormat="true" ht="13.5"/>
    <row r="14899" s="96" customFormat="true" ht="13.5"/>
    <row r="14900" s="96" customFormat="true" ht="13.5"/>
    <row r="14901" s="96" customFormat="true" ht="13.5"/>
    <row r="14902" s="96" customFormat="true" ht="13.5"/>
    <row r="14903" s="96" customFormat="true" ht="13.5"/>
    <row r="14904" s="96" customFormat="true" ht="13.5"/>
    <row r="14905" s="96" customFormat="true" ht="13.5"/>
    <row r="14906" s="96" customFormat="true" ht="13.5"/>
    <row r="14907" s="96" customFormat="true" ht="13.5"/>
    <row r="14908" s="96" customFormat="true" ht="13.5"/>
    <row r="14909" s="96" customFormat="true" ht="13.5"/>
    <row r="14910" s="96" customFormat="true" ht="13.5"/>
    <row r="14911" s="96" customFormat="true" ht="13.5"/>
    <row r="14912" s="96" customFormat="true" ht="13.5"/>
    <row r="14913" s="96" customFormat="true" ht="13.5"/>
    <row r="14914" s="96" customFormat="true" ht="13.5"/>
    <row r="14915" s="96" customFormat="true" ht="13.5"/>
    <row r="14916" s="96" customFormat="true" ht="13.5"/>
    <row r="14917" s="96" customFormat="true" ht="13.5"/>
    <row r="14918" s="96" customFormat="true" ht="13.5"/>
    <row r="14919" s="96" customFormat="true" ht="13.5"/>
    <row r="14920" s="96" customFormat="true" ht="13.5"/>
    <row r="14921" s="96" customFormat="true" ht="13.5"/>
    <row r="14922" s="96" customFormat="true" ht="13.5"/>
    <row r="14923" s="96" customFormat="true" ht="13.5"/>
    <row r="14924" s="96" customFormat="true" ht="13.5"/>
    <row r="14925" s="96" customFormat="true" ht="13.5"/>
    <row r="14926" s="96" customFormat="true" ht="13.5"/>
    <row r="14927" s="96" customFormat="true" ht="13.5"/>
    <row r="14928" s="96" customFormat="true" ht="13.5"/>
    <row r="14929" s="96" customFormat="true" ht="13.5"/>
    <row r="14930" s="96" customFormat="true" ht="13.5"/>
    <row r="14931" s="96" customFormat="true" ht="13.5"/>
    <row r="14932" s="96" customFormat="true" ht="13.5"/>
    <row r="14933" s="96" customFormat="true" ht="13.5"/>
    <row r="14934" s="96" customFormat="true" ht="13.5"/>
    <row r="14935" s="96" customFormat="true" ht="13.5"/>
    <row r="14936" s="96" customFormat="true" ht="13.5"/>
    <row r="14937" s="96" customFormat="true" ht="13.5"/>
    <row r="14938" s="96" customFormat="true" ht="13.5"/>
    <row r="14939" s="96" customFormat="true" ht="13.5"/>
    <row r="14940" s="96" customFormat="true" ht="13.5"/>
    <row r="14941" s="96" customFormat="true" ht="13.5"/>
    <row r="14942" s="96" customFormat="true" ht="13.5"/>
    <row r="14943" s="96" customFormat="true" ht="13.5"/>
    <row r="14944" s="96" customFormat="true" ht="13.5"/>
    <row r="14945" s="96" customFormat="true" ht="13.5"/>
    <row r="14946" s="96" customFormat="true" ht="13.5"/>
    <row r="14947" s="96" customFormat="true" ht="13.5"/>
    <row r="14948" s="96" customFormat="true" ht="13.5"/>
    <row r="14949" s="96" customFormat="true" ht="13.5"/>
    <row r="14950" s="96" customFormat="true" ht="13.5"/>
    <row r="14951" s="96" customFormat="true" ht="13.5"/>
    <row r="14952" s="96" customFormat="true" ht="13.5"/>
    <row r="14953" s="96" customFormat="true" ht="13.5"/>
    <row r="14954" s="96" customFormat="true" ht="13.5"/>
    <row r="14955" s="96" customFormat="true" ht="13.5"/>
    <row r="14956" s="96" customFormat="true" ht="13.5"/>
    <row r="14957" s="96" customFormat="true" ht="13.5"/>
    <row r="14958" s="96" customFormat="true" ht="13.5"/>
    <row r="14959" s="96" customFormat="true" ht="13.5"/>
    <row r="14960" s="96" customFormat="true" ht="13.5"/>
    <row r="14961" s="96" customFormat="true" ht="13.5"/>
    <row r="14962" s="96" customFormat="true" ht="13.5"/>
    <row r="14963" s="96" customFormat="true" ht="13.5"/>
    <row r="14964" s="96" customFormat="true" ht="13.5"/>
    <row r="14965" s="96" customFormat="true" ht="13.5"/>
    <row r="14966" s="96" customFormat="true" ht="13.5"/>
    <row r="14967" s="96" customFormat="true" ht="13.5"/>
    <row r="14968" s="96" customFormat="true" ht="13.5"/>
    <row r="14969" s="96" customFormat="true" ht="13.5"/>
    <row r="14970" s="96" customFormat="true" ht="13.5"/>
    <row r="14971" s="96" customFormat="true" ht="13.5"/>
    <row r="14972" s="96" customFormat="true" ht="13.5"/>
    <row r="14973" s="96" customFormat="true" ht="13.5"/>
    <row r="14974" s="96" customFormat="true" ht="13.5"/>
    <row r="14975" s="96" customFormat="true" ht="13.5"/>
    <row r="14976" s="96" customFormat="true" ht="13.5"/>
    <row r="14977" s="96" customFormat="true" ht="13.5"/>
    <row r="14978" s="96" customFormat="true" ht="13.5"/>
    <row r="14979" s="96" customFormat="true" ht="13.5"/>
    <row r="14980" s="96" customFormat="true" ht="13.5"/>
    <row r="14981" s="96" customFormat="true" ht="13.5"/>
    <row r="14982" s="96" customFormat="true" ht="13.5"/>
    <row r="14983" s="96" customFormat="true" ht="13.5"/>
    <row r="14984" s="96" customFormat="true" ht="13.5"/>
    <row r="14985" s="96" customFormat="true" ht="13.5"/>
    <row r="14986" s="96" customFormat="true" ht="13.5"/>
    <row r="14987" s="96" customFormat="true" ht="13.5"/>
    <row r="14988" s="96" customFormat="true" ht="13.5"/>
    <row r="14989" s="96" customFormat="true" ht="13.5"/>
    <row r="14990" s="96" customFormat="true" ht="13.5"/>
    <row r="14991" s="96" customFormat="true" ht="13.5"/>
    <row r="14992" s="96" customFormat="true" ht="13.5"/>
    <row r="14993" s="96" customFormat="true" ht="13.5"/>
    <row r="14994" s="96" customFormat="true" ht="13.5"/>
    <row r="14995" s="96" customFormat="true" ht="13.5"/>
    <row r="14996" s="96" customFormat="true" ht="13.5"/>
    <row r="14997" s="96" customFormat="true" ht="13.5"/>
    <row r="14998" s="96" customFormat="true" ht="13.5"/>
    <row r="14999" s="96" customFormat="true" ht="13.5"/>
    <row r="15000" s="96" customFormat="true" ht="13.5"/>
    <row r="15001" s="96" customFormat="true" ht="13.5"/>
    <row r="15002" s="96" customFormat="true" ht="13.5"/>
    <row r="15003" s="96" customFormat="true" ht="13.5"/>
    <row r="15004" s="96" customFormat="true" ht="13.5"/>
    <row r="15005" s="96" customFormat="true" ht="13.5"/>
    <row r="15006" s="96" customFormat="true" ht="13.5"/>
    <row r="15007" s="96" customFormat="true" ht="13.5"/>
    <row r="15008" s="96" customFormat="true" ht="13.5"/>
    <row r="15009" s="96" customFormat="true" ht="13.5"/>
    <row r="15010" s="96" customFormat="true" ht="13.5"/>
    <row r="15011" s="96" customFormat="true" ht="13.5"/>
    <row r="15012" s="96" customFormat="true" ht="13.5"/>
    <row r="15013" s="96" customFormat="true" ht="13.5"/>
    <row r="15014" s="96" customFormat="true" ht="13.5"/>
    <row r="15015" s="96" customFormat="true" ht="13.5"/>
    <row r="15016" s="96" customFormat="true" ht="13.5"/>
    <row r="15017" s="96" customFormat="true" ht="13.5"/>
    <row r="15018" s="96" customFormat="true" ht="13.5"/>
    <row r="15019" s="96" customFormat="true" ht="13.5"/>
    <row r="15020" s="96" customFormat="true" ht="13.5"/>
    <row r="15021" s="96" customFormat="true" ht="13.5"/>
    <row r="15022" s="96" customFormat="true" ht="13.5"/>
    <row r="15023" s="96" customFormat="true" ht="13.5"/>
    <row r="15024" s="96" customFormat="true" ht="13.5"/>
    <row r="15025" s="96" customFormat="true" ht="13.5"/>
    <row r="15026" s="96" customFormat="true" ht="13.5"/>
    <row r="15027" s="96" customFormat="true" ht="13.5"/>
    <row r="15028" s="96" customFormat="true" ht="13.5"/>
    <row r="15029" s="96" customFormat="true" ht="13.5"/>
    <row r="15030" s="96" customFormat="true" ht="13.5"/>
    <row r="15031" s="96" customFormat="true" ht="13.5"/>
    <row r="15032" s="96" customFormat="true" ht="13.5"/>
    <row r="15033" s="96" customFormat="true" ht="13.5"/>
    <row r="15034" s="96" customFormat="true" ht="13.5"/>
    <row r="15035" s="96" customFormat="true" ht="13.5"/>
    <row r="15036" s="96" customFormat="true" ht="13.5"/>
    <row r="15037" s="96" customFormat="true" ht="13.5"/>
    <row r="15038" s="96" customFormat="true" ht="13.5"/>
    <row r="15039" s="96" customFormat="true" ht="13.5"/>
    <row r="15040" s="96" customFormat="true" ht="13.5"/>
    <row r="15041" s="96" customFormat="true" ht="13.5"/>
    <row r="15042" s="96" customFormat="true" ht="13.5"/>
    <row r="15043" s="96" customFormat="true" ht="13.5"/>
    <row r="15044" s="96" customFormat="true" ht="13.5"/>
    <row r="15045" s="96" customFormat="true" ht="13.5"/>
    <row r="15046" s="96" customFormat="true" ht="13.5"/>
    <row r="15047" s="96" customFormat="true" ht="13.5"/>
    <row r="15048" s="96" customFormat="true" ht="13.5"/>
    <row r="15049" s="96" customFormat="true" ht="13.5"/>
    <row r="15050" s="96" customFormat="true" ht="13.5"/>
    <row r="15051" s="96" customFormat="true" ht="13.5"/>
    <row r="15052" s="96" customFormat="true" ht="13.5"/>
    <row r="15053" s="96" customFormat="true" ht="13.5"/>
    <row r="15054" s="96" customFormat="true" ht="13.5"/>
    <row r="15055" s="96" customFormat="true" ht="13.5"/>
    <row r="15056" s="96" customFormat="true" ht="13.5"/>
    <row r="15057" s="96" customFormat="true" ht="13.5"/>
    <row r="15058" s="96" customFormat="true" ht="13.5"/>
    <row r="15059" s="96" customFormat="true" ht="13.5"/>
    <row r="15060" s="96" customFormat="true" ht="13.5"/>
    <row r="15061" s="96" customFormat="true" ht="13.5"/>
    <row r="15062" s="96" customFormat="true" ht="13.5"/>
    <row r="15063" s="96" customFormat="true" ht="13.5"/>
    <row r="15064" s="96" customFormat="true" ht="13.5"/>
    <row r="15065" s="96" customFormat="true" ht="13.5"/>
    <row r="15066" s="96" customFormat="true" ht="13.5"/>
    <row r="15067" s="96" customFormat="true" ht="13.5"/>
    <row r="15068" s="96" customFormat="true" ht="13.5"/>
    <row r="15069" s="96" customFormat="true" ht="13.5"/>
    <row r="15070" s="96" customFormat="true" ht="13.5"/>
    <row r="15071" s="96" customFormat="true" ht="13.5"/>
    <row r="15072" s="96" customFormat="true" ht="13.5"/>
    <row r="15073" s="96" customFormat="true" ht="13.5"/>
    <row r="15074" s="96" customFormat="true" ht="13.5"/>
    <row r="15075" s="96" customFormat="true" ht="13.5"/>
    <row r="15076" s="96" customFormat="true" ht="13.5"/>
    <row r="15077" s="96" customFormat="true" ht="13.5"/>
    <row r="15078" s="96" customFormat="true" ht="13.5"/>
    <row r="15079" s="96" customFormat="true" ht="13.5"/>
    <row r="15080" s="96" customFormat="true" ht="13.5"/>
    <row r="15081" s="96" customFormat="true" ht="13.5"/>
    <row r="15082" s="96" customFormat="true" ht="13.5"/>
    <row r="15083" s="96" customFormat="true" ht="13.5"/>
    <row r="15084" s="96" customFormat="true" ht="13.5"/>
    <row r="15085" s="96" customFormat="true" ht="13.5"/>
    <row r="15086" s="96" customFormat="true" ht="13.5"/>
    <row r="15087" s="96" customFormat="true" ht="13.5"/>
    <row r="15088" s="96" customFormat="true" ht="13.5"/>
    <row r="15089" s="96" customFormat="true" ht="13.5"/>
    <row r="15090" s="96" customFormat="true" ht="13.5"/>
    <row r="15091" s="96" customFormat="true" ht="13.5"/>
    <row r="15092" s="96" customFormat="true" ht="13.5"/>
    <row r="15093" s="96" customFormat="true" ht="13.5"/>
    <row r="15094" s="96" customFormat="true" ht="13.5"/>
    <row r="15095" s="96" customFormat="true" ht="13.5"/>
    <row r="15096" s="96" customFormat="true" ht="13.5"/>
    <row r="15097" s="96" customFormat="true" ht="13.5"/>
    <row r="15098" s="96" customFormat="true" ht="13.5"/>
    <row r="15099" s="96" customFormat="true" ht="13.5"/>
    <row r="15100" s="96" customFormat="true" ht="13.5"/>
    <row r="15101" s="96" customFormat="true" ht="13.5"/>
    <row r="15102" s="96" customFormat="true" ht="13.5"/>
    <row r="15103" s="96" customFormat="true" ht="13.5"/>
    <row r="15104" s="96" customFormat="true" ht="13.5"/>
    <row r="15105" s="96" customFormat="true" ht="13.5"/>
    <row r="15106" s="96" customFormat="true" ht="13.5"/>
    <row r="15107" s="96" customFormat="true" ht="13.5"/>
    <row r="15108" s="96" customFormat="true" ht="13.5"/>
    <row r="15109" s="96" customFormat="true" ht="13.5"/>
    <row r="15110" s="96" customFormat="true" ht="13.5"/>
    <row r="15111" s="96" customFormat="true" ht="13.5"/>
    <row r="15112" s="96" customFormat="true" ht="13.5"/>
    <row r="15113" s="96" customFormat="true" ht="13.5"/>
    <row r="15114" s="96" customFormat="true" ht="13.5"/>
    <row r="15115" s="96" customFormat="true" ht="13.5"/>
    <row r="15116" s="96" customFormat="true" ht="13.5"/>
    <row r="15117" s="96" customFormat="true" ht="13.5"/>
    <row r="15118" s="96" customFormat="true" ht="13.5"/>
    <row r="15119" s="96" customFormat="true" ht="13.5"/>
    <row r="15120" s="96" customFormat="true" ht="13.5"/>
    <row r="15121" s="96" customFormat="true" ht="13.5"/>
    <row r="15122" s="96" customFormat="true" ht="13.5"/>
    <row r="15123" s="96" customFormat="true" ht="13.5"/>
    <row r="15124" s="96" customFormat="true" ht="13.5"/>
    <row r="15125" s="96" customFormat="true" ht="13.5"/>
    <row r="15126" s="96" customFormat="true" ht="13.5"/>
    <row r="15127" s="96" customFormat="true" ht="13.5"/>
    <row r="15128" s="96" customFormat="true" ht="13.5"/>
    <row r="15129" s="96" customFormat="true" ht="13.5"/>
    <row r="15130" s="96" customFormat="true" ht="13.5"/>
    <row r="15131" s="96" customFormat="true" ht="13.5"/>
    <row r="15132" s="96" customFormat="true" ht="13.5"/>
    <row r="15133" s="96" customFormat="true" ht="13.5"/>
    <row r="15134" s="96" customFormat="true" ht="13.5"/>
    <row r="15135" s="96" customFormat="true" ht="13.5"/>
    <row r="15136" s="96" customFormat="true" ht="13.5"/>
    <row r="15137" s="96" customFormat="true" ht="13.5"/>
    <row r="15138" s="96" customFormat="true" ht="13.5"/>
    <row r="15139" s="96" customFormat="true" ht="13.5"/>
    <row r="15140" s="96" customFormat="true" ht="13.5"/>
    <row r="15141" s="96" customFormat="true" ht="13.5"/>
    <row r="15142" s="96" customFormat="true" ht="13.5"/>
    <row r="15143" s="96" customFormat="true" ht="13.5"/>
    <row r="15144" s="96" customFormat="true" ht="13.5"/>
    <row r="15145" s="96" customFormat="true" ht="13.5"/>
    <row r="15146" s="96" customFormat="true" ht="13.5"/>
    <row r="15147" s="96" customFormat="true" ht="13.5"/>
    <row r="15148" s="96" customFormat="true" ht="13.5"/>
    <row r="15149" s="96" customFormat="true" ht="13.5"/>
    <row r="15150" s="96" customFormat="true" ht="13.5"/>
    <row r="15151" s="96" customFormat="true" ht="13.5"/>
    <row r="15152" s="96" customFormat="true" ht="13.5"/>
    <row r="15153" s="96" customFormat="true" ht="13.5"/>
    <row r="15154" s="96" customFormat="true" ht="13.5"/>
    <row r="15155" s="96" customFormat="true" ht="13.5"/>
    <row r="15156" s="96" customFormat="true" ht="13.5"/>
    <row r="15157" s="96" customFormat="true" ht="13.5"/>
    <row r="15158" s="96" customFormat="true" ht="13.5"/>
    <row r="15159" s="96" customFormat="true" ht="13.5"/>
    <row r="15160" s="96" customFormat="true" ht="13.5"/>
    <row r="15161" s="96" customFormat="true" ht="13.5"/>
    <row r="15162" s="96" customFormat="true" ht="13.5"/>
    <row r="15163" s="96" customFormat="true" ht="13.5"/>
    <row r="15164" s="96" customFormat="true" ht="13.5"/>
    <row r="15165" s="96" customFormat="true" ht="13.5"/>
    <row r="15166" s="96" customFormat="true" ht="13.5"/>
    <row r="15167" s="96" customFormat="true" ht="13.5"/>
    <row r="15168" s="96" customFormat="true" ht="13.5"/>
    <row r="15169" s="96" customFormat="true" ht="13.5"/>
    <row r="15170" s="96" customFormat="true" ht="13.5"/>
    <row r="15171" s="96" customFormat="true" ht="13.5"/>
    <row r="15172" s="96" customFormat="true" ht="13.5"/>
    <row r="15173" s="96" customFormat="true" ht="13.5"/>
    <row r="15174" s="96" customFormat="true" ht="13.5"/>
    <row r="15175" s="96" customFormat="true" ht="13.5"/>
    <row r="15176" s="96" customFormat="true" ht="13.5"/>
    <row r="15177" s="96" customFormat="true" ht="13.5"/>
    <row r="15178" s="96" customFormat="true" ht="13.5"/>
    <row r="15179" s="96" customFormat="true" ht="13.5"/>
    <row r="15180" s="96" customFormat="true" ht="13.5"/>
    <row r="15181" s="96" customFormat="true" ht="13.5"/>
    <row r="15182" s="96" customFormat="true" ht="13.5"/>
    <row r="15183" s="96" customFormat="true" ht="13.5"/>
    <row r="15184" s="96" customFormat="true" ht="13.5"/>
    <row r="15185" s="96" customFormat="true" ht="13.5"/>
    <row r="15186" s="96" customFormat="true" ht="13.5"/>
    <row r="15187" s="96" customFormat="true" ht="13.5"/>
    <row r="15188" s="96" customFormat="true" ht="13.5"/>
    <row r="15189" s="96" customFormat="true" ht="13.5"/>
    <row r="15190" s="96" customFormat="true" ht="13.5"/>
    <row r="15191" s="96" customFormat="true" ht="13.5"/>
    <row r="15192" s="96" customFormat="true" ht="13.5"/>
    <row r="15193" s="96" customFormat="true" ht="13.5"/>
    <row r="15194" s="96" customFormat="true" ht="13.5"/>
    <row r="15195" s="96" customFormat="true" ht="13.5"/>
    <row r="15196" s="96" customFormat="true" ht="13.5"/>
    <row r="15197" s="96" customFormat="true" ht="13.5"/>
    <row r="15198" s="96" customFormat="true" ht="13.5"/>
    <row r="15199" s="96" customFormat="true" ht="13.5"/>
    <row r="15200" s="96" customFormat="true" ht="13.5"/>
    <row r="15201" s="96" customFormat="true" ht="13.5"/>
    <row r="15202" s="96" customFormat="true" ht="13.5"/>
    <row r="15203" s="96" customFormat="true" ht="13.5"/>
    <row r="15204" s="96" customFormat="true" ht="13.5"/>
    <row r="15205" s="96" customFormat="true" ht="13.5"/>
    <row r="15206" s="96" customFormat="true" ht="13.5"/>
    <row r="15207" s="96" customFormat="true" ht="13.5"/>
    <row r="15208" s="96" customFormat="true" ht="13.5"/>
    <row r="15209" s="96" customFormat="true" ht="13.5"/>
    <row r="15210" s="96" customFormat="true" ht="13.5"/>
    <row r="15211" s="96" customFormat="true" ht="13.5"/>
    <row r="15212" s="96" customFormat="true" ht="13.5"/>
    <row r="15213" s="96" customFormat="true" ht="13.5"/>
    <row r="15214" s="96" customFormat="true" ht="13.5"/>
    <row r="15215" s="96" customFormat="true" ht="13.5"/>
    <row r="15216" s="96" customFormat="true" ht="13.5"/>
    <row r="15217" s="96" customFormat="true" ht="13.5"/>
    <row r="15218" s="96" customFormat="true" ht="13.5"/>
    <row r="15219" s="96" customFormat="true" ht="13.5"/>
    <row r="15220" s="96" customFormat="true" ht="13.5"/>
    <row r="15221" s="96" customFormat="true" ht="13.5"/>
    <row r="15222" s="96" customFormat="true" ht="13.5"/>
    <row r="15223" s="96" customFormat="true" ht="13.5"/>
    <row r="15224" s="96" customFormat="true" ht="13.5"/>
    <row r="15225" s="96" customFormat="true" ht="13.5"/>
    <row r="15226" s="96" customFormat="true" ht="13.5"/>
    <row r="15227" s="96" customFormat="true" ht="13.5"/>
    <row r="15228" s="96" customFormat="true" ht="13.5"/>
    <row r="15229" s="96" customFormat="true" ht="13.5"/>
    <row r="15230" s="96" customFormat="true" ht="13.5"/>
    <row r="15231" s="96" customFormat="true" ht="13.5"/>
    <row r="15232" s="96" customFormat="true" ht="13.5"/>
    <row r="15233" s="96" customFormat="true" ht="13.5"/>
    <row r="15234" s="96" customFormat="true" ht="13.5"/>
    <row r="15235" s="96" customFormat="true" ht="13.5"/>
    <row r="15236" s="96" customFormat="true" ht="13.5"/>
    <row r="15237" s="96" customFormat="true" ht="13.5"/>
    <row r="15238" s="96" customFormat="true" ht="13.5"/>
    <row r="15239" s="96" customFormat="true" ht="13.5"/>
    <row r="15240" s="96" customFormat="true" ht="13.5"/>
    <row r="15241" s="96" customFormat="true" ht="13.5"/>
    <row r="15242" s="96" customFormat="true" ht="13.5"/>
    <row r="15243" s="96" customFormat="true" ht="13.5"/>
    <row r="15244" s="96" customFormat="true" ht="13.5"/>
    <row r="15245" s="96" customFormat="true" ht="13.5"/>
    <row r="15246" s="96" customFormat="true" ht="13.5"/>
    <row r="15247" s="96" customFormat="true" ht="13.5"/>
    <row r="15248" s="96" customFormat="true" ht="13.5"/>
    <row r="15249" s="96" customFormat="true" ht="13.5"/>
    <row r="15250" s="96" customFormat="true" ht="13.5"/>
    <row r="15251" s="96" customFormat="true" ht="13.5"/>
    <row r="15252" s="96" customFormat="true" ht="13.5"/>
    <row r="15253" s="96" customFormat="true" ht="13.5"/>
    <row r="15254" s="96" customFormat="true" ht="13.5"/>
    <row r="15255" s="96" customFormat="true" ht="13.5"/>
    <row r="15256" s="96" customFormat="true" ht="13.5"/>
    <row r="15257" s="96" customFormat="true" ht="13.5"/>
    <row r="15258" s="96" customFormat="true" ht="13.5"/>
    <row r="15259" s="96" customFormat="true" ht="13.5"/>
    <row r="15260" s="96" customFormat="true" ht="13.5"/>
    <row r="15261" s="96" customFormat="true" ht="13.5"/>
    <row r="15262" s="96" customFormat="true" ht="13.5"/>
    <row r="15263" s="96" customFormat="true" ht="13.5"/>
    <row r="15264" s="96" customFormat="true" ht="13.5"/>
    <row r="15265" s="96" customFormat="true" ht="13.5"/>
    <row r="15266" s="96" customFormat="true" ht="13.5"/>
    <row r="15267" s="96" customFormat="true" ht="13.5"/>
    <row r="15268" s="96" customFormat="true" ht="13.5"/>
    <row r="15269" s="96" customFormat="true" ht="13.5"/>
    <row r="15270" s="96" customFormat="true" ht="13.5"/>
    <row r="15271" s="96" customFormat="true" ht="13.5"/>
    <row r="15272" s="96" customFormat="true" ht="13.5"/>
    <row r="15273" s="96" customFormat="true" ht="13.5"/>
    <row r="15274" s="96" customFormat="true" ht="13.5"/>
    <row r="15275" s="96" customFormat="true" ht="13.5"/>
    <row r="15276" s="96" customFormat="true" ht="13.5"/>
    <row r="15277" s="96" customFormat="true" ht="13.5"/>
    <row r="15278" s="96" customFormat="true" ht="13.5"/>
    <row r="15279" s="96" customFormat="true" ht="13.5"/>
    <row r="15280" s="96" customFormat="true" ht="13.5"/>
    <row r="15281" s="96" customFormat="true" ht="13.5"/>
    <row r="15282" s="96" customFormat="true" ht="13.5"/>
    <row r="15283" s="96" customFormat="true" ht="13.5"/>
    <row r="15284" s="96" customFormat="true" ht="13.5"/>
    <row r="15285" s="96" customFormat="true" ht="13.5"/>
    <row r="15286" s="96" customFormat="true" ht="13.5"/>
    <row r="15287" s="96" customFormat="true" ht="13.5"/>
    <row r="15288" s="96" customFormat="true" ht="13.5"/>
    <row r="15289" s="96" customFormat="true" ht="13.5"/>
    <row r="15290" s="96" customFormat="true" ht="13.5"/>
    <row r="15291" s="96" customFormat="true" ht="13.5"/>
    <row r="15292" s="96" customFormat="true" ht="13.5"/>
    <row r="15293" s="96" customFormat="true" ht="13.5"/>
    <row r="15294" s="96" customFormat="true" ht="13.5"/>
    <row r="15295" s="96" customFormat="true" ht="13.5"/>
    <row r="15296" s="96" customFormat="true" ht="13.5"/>
    <row r="15297" s="96" customFormat="true" ht="13.5"/>
    <row r="15298" s="96" customFormat="true" ht="13.5"/>
    <row r="15299" s="96" customFormat="true" ht="13.5"/>
    <row r="15300" s="96" customFormat="true" ht="13.5"/>
    <row r="15301" s="96" customFormat="true" ht="13.5"/>
    <row r="15302" s="96" customFormat="true" ht="13.5"/>
    <row r="15303" s="96" customFormat="true" ht="13.5"/>
    <row r="15304" s="96" customFormat="true" ht="13.5"/>
    <row r="15305" s="96" customFormat="true" ht="13.5"/>
    <row r="15306" s="96" customFormat="true" ht="13.5"/>
    <row r="15307" s="96" customFormat="true" ht="13.5"/>
    <row r="15308" s="96" customFormat="true" ht="13.5"/>
    <row r="15309" s="96" customFormat="true" ht="13.5"/>
    <row r="15310" s="96" customFormat="true" ht="13.5"/>
    <row r="15311" s="96" customFormat="true" ht="13.5"/>
    <row r="15312" s="96" customFormat="true" ht="13.5"/>
    <row r="15313" s="96" customFormat="true" ht="13.5"/>
    <row r="15314" s="96" customFormat="true" ht="13.5"/>
    <row r="15315" s="96" customFormat="true" ht="13.5"/>
    <row r="15316" s="96" customFormat="true" ht="13.5"/>
    <row r="15317" s="96" customFormat="true" ht="13.5"/>
    <row r="15318" s="96" customFormat="true" ht="13.5"/>
    <row r="15319" s="96" customFormat="true" ht="13.5"/>
    <row r="15320" s="96" customFormat="true" ht="13.5"/>
    <row r="15321" s="96" customFormat="true" ht="13.5"/>
    <row r="15322" s="96" customFormat="true" ht="13.5"/>
    <row r="15323" s="96" customFormat="true" ht="13.5"/>
    <row r="15324" s="96" customFormat="true" ht="13.5"/>
    <row r="15325" s="96" customFormat="true" ht="13.5"/>
    <row r="15326" s="96" customFormat="true" ht="13.5"/>
    <row r="15327" s="96" customFormat="true" ht="13.5"/>
    <row r="15328" s="96" customFormat="true" ht="13.5"/>
    <row r="15329" s="96" customFormat="true" ht="13.5"/>
    <row r="15330" s="96" customFormat="true" ht="13.5"/>
    <row r="15331" s="96" customFormat="true" ht="13.5"/>
    <row r="15332" s="96" customFormat="true" ht="13.5"/>
    <row r="15333" s="96" customFormat="true" ht="13.5"/>
    <row r="15334" s="96" customFormat="true" ht="13.5"/>
    <row r="15335" s="96" customFormat="true" ht="13.5"/>
    <row r="15336" s="96" customFormat="true" ht="13.5"/>
    <row r="15337" s="96" customFormat="true" ht="13.5"/>
    <row r="15338" s="96" customFormat="true" ht="13.5"/>
    <row r="15339" s="96" customFormat="true" ht="13.5"/>
    <row r="15340" s="96" customFormat="true" ht="13.5"/>
    <row r="15341" s="96" customFormat="true" ht="13.5"/>
    <row r="15342" s="96" customFormat="true" ht="13.5"/>
    <row r="15343" s="96" customFormat="true" ht="13.5"/>
    <row r="15344" s="96" customFormat="true" ht="13.5"/>
    <row r="15345" s="96" customFormat="true" ht="13.5"/>
    <row r="15346" s="96" customFormat="true" ht="13.5"/>
    <row r="15347" s="96" customFormat="true" ht="13.5"/>
    <row r="15348" s="96" customFormat="true" ht="13.5"/>
    <row r="15349" s="96" customFormat="true" ht="13.5"/>
    <row r="15350" s="96" customFormat="true" ht="13.5"/>
    <row r="15351" s="96" customFormat="true" ht="13.5"/>
    <row r="15352" s="96" customFormat="true" ht="13.5"/>
    <row r="15353" s="96" customFormat="true" ht="13.5"/>
    <row r="15354" s="96" customFormat="true" ht="13.5"/>
    <row r="15355" s="96" customFormat="true" ht="13.5"/>
    <row r="15356" s="96" customFormat="true" ht="13.5"/>
    <row r="15357" s="96" customFormat="true" ht="13.5"/>
    <row r="15358" s="96" customFormat="true" ht="13.5"/>
    <row r="15359" s="96" customFormat="true" ht="13.5"/>
    <row r="15360" s="96" customFormat="true" ht="13.5"/>
    <row r="15361" s="96" customFormat="true" ht="13.5"/>
    <row r="15362" s="96" customFormat="true" ht="13.5"/>
    <row r="15363" s="96" customFormat="true" ht="13.5"/>
    <row r="15364" s="96" customFormat="true" ht="13.5"/>
    <row r="15365" s="96" customFormat="true" ht="13.5"/>
    <row r="15366" s="96" customFormat="true" ht="13.5"/>
    <row r="15367" s="96" customFormat="true" ht="13.5"/>
    <row r="15368" s="96" customFormat="true" ht="13.5"/>
    <row r="15369" s="96" customFormat="true" ht="13.5"/>
    <row r="15370" s="96" customFormat="true" ht="13.5"/>
    <row r="15371" s="96" customFormat="true" ht="13.5"/>
    <row r="15372" s="96" customFormat="true" ht="13.5"/>
    <row r="15373" s="96" customFormat="true" ht="13.5"/>
    <row r="15374" s="96" customFormat="true" ht="13.5"/>
    <row r="15375" s="96" customFormat="true" ht="13.5"/>
    <row r="15376" s="96" customFormat="true" ht="13.5"/>
    <row r="15377" s="96" customFormat="true" ht="13.5"/>
    <row r="15378" s="96" customFormat="true" ht="13.5"/>
    <row r="15379" s="96" customFormat="true" ht="13.5"/>
    <row r="15380" s="96" customFormat="true" ht="13.5"/>
    <row r="15381" s="96" customFormat="true" ht="13.5"/>
    <row r="15382" s="96" customFormat="true" ht="13.5"/>
    <row r="15383" s="96" customFormat="true" ht="13.5"/>
    <row r="15384" s="96" customFormat="true" ht="13.5"/>
    <row r="15385" s="96" customFormat="true" ht="13.5"/>
    <row r="15386" s="96" customFormat="true" ht="13.5"/>
    <row r="15387" s="96" customFormat="true" ht="13.5"/>
    <row r="15388" s="96" customFormat="true" ht="13.5"/>
    <row r="15389" s="96" customFormat="true" ht="13.5"/>
    <row r="15390" s="96" customFormat="true" ht="13.5"/>
    <row r="15391" s="96" customFormat="true" ht="13.5"/>
    <row r="15392" s="96" customFormat="true" ht="13.5"/>
    <row r="15393" s="96" customFormat="true" ht="13.5"/>
    <row r="15394" s="96" customFormat="true" ht="13.5"/>
    <row r="15395" s="96" customFormat="true" ht="13.5"/>
    <row r="15396" s="96" customFormat="true" ht="13.5"/>
    <row r="15397" s="96" customFormat="true" ht="13.5"/>
    <row r="15398" s="96" customFormat="true" ht="13.5"/>
    <row r="15399" s="96" customFormat="true" ht="13.5"/>
    <row r="15400" s="96" customFormat="true" ht="13.5"/>
    <row r="15401" s="96" customFormat="true" ht="13.5"/>
    <row r="15402" s="96" customFormat="true" ht="13.5"/>
    <row r="15403" s="96" customFormat="true" ht="13.5"/>
    <row r="15404" s="96" customFormat="true" ht="13.5"/>
    <row r="15405" s="96" customFormat="true" ht="13.5"/>
    <row r="15406" s="96" customFormat="true" ht="13.5"/>
    <row r="15407" s="96" customFormat="true" ht="13.5"/>
    <row r="15408" s="96" customFormat="true" ht="13.5"/>
    <row r="15409" s="96" customFormat="true" ht="13.5"/>
    <row r="15410" s="96" customFormat="true" ht="13.5"/>
    <row r="15411" s="96" customFormat="true" ht="13.5"/>
    <row r="15412" s="96" customFormat="true" ht="13.5"/>
    <row r="15413" s="96" customFormat="true" ht="13.5"/>
    <row r="15414" s="96" customFormat="true" ht="13.5"/>
    <row r="15415" s="96" customFormat="true" ht="13.5"/>
    <row r="15416" s="96" customFormat="true" ht="13.5"/>
    <row r="15417" s="96" customFormat="true" ht="13.5"/>
    <row r="15418" s="96" customFormat="true" ht="13.5"/>
    <row r="15419" s="96" customFormat="true" ht="13.5"/>
    <row r="15420" s="96" customFormat="true" ht="13.5"/>
    <row r="15421" s="96" customFormat="true" ht="13.5"/>
    <row r="15422" s="96" customFormat="true" ht="13.5"/>
    <row r="15423" s="96" customFormat="true" ht="13.5"/>
    <row r="15424" s="96" customFormat="true" ht="13.5"/>
    <row r="15425" s="96" customFormat="true" ht="13.5"/>
    <row r="15426" s="96" customFormat="true" ht="13.5"/>
    <row r="15427" s="96" customFormat="true" ht="13.5"/>
    <row r="15428" s="96" customFormat="true" ht="13.5"/>
    <row r="15429" s="96" customFormat="true" ht="13.5"/>
    <row r="15430" s="96" customFormat="true" ht="13.5"/>
    <row r="15431" s="96" customFormat="true" ht="13.5"/>
    <row r="15432" s="96" customFormat="true" ht="13.5"/>
    <row r="15433" s="96" customFormat="true" ht="13.5"/>
    <row r="15434" s="96" customFormat="true" ht="13.5"/>
    <row r="15435" s="96" customFormat="true" ht="13.5"/>
    <row r="15436" s="96" customFormat="true" ht="13.5"/>
    <row r="15437" s="96" customFormat="true" ht="13.5"/>
    <row r="15438" s="96" customFormat="true" ht="13.5"/>
    <row r="15439" s="96" customFormat="true" ht="13.5"/>
    <row r="15440" s="96" customFormat="true" ht="13.5"/>
    <row r="15441" s="96" customFormat="true" ht="13.5"/>
    <row r="15442" s="96" customFormat="true" ht="13.5"/>
    <row r="15443" s="96" customFormat="true" ht="13.5"/>
    <row r="15444" s="96" customFormat="true" ht="13.5"/>
    <row r="15445" s="96" customFormat="true" ht="13.5"/>
    <row r="15446" s="96" customFormat="true" ht="13.5"/>
    <row r="15447" s="96" customFormat="true" ht="13.5"/>
    <row r="15448" s="96" customFormat="true" ht="13.5"/>
    <row r="15449" s="96" customFormat="true" ht="13.5"/>
    <row r="15450" s="96" customFormat="true" ht="13.5"/>
    <row r="15451" s="96" customFormat="true" ht="13.5"/>
    <row r="15452" s="96" customFormat="true" ht="13.5"/>
    <row r="15453" s="96" customFormat="true" ht="13.5"/>
    <row r="15454" s="96" customFormat="true" ht="13.5"/>
    <row r="15455" s="96" customFormat="true" ht="13.5"/>
    <row r="15456" s="96" customFormat="true" ht="13.5"/>
    <row r="15457" s="96" customFormat="true" ht="13.5"/>
    <row r="15458" s="96" customFormat="true" ht="13.5"/>
    <row r="15459" s="96" customFormat="true" ht="13.5"/>
    <row r="15460" s="96" customFormat="true" ht="13.5"/>
    <row r="15461" s="96" customFormat="true" ht="13.5"/>
    <row r="15462" s="96" customFormat="true" ht="13.5"/>
    <row r="15463" s="96" customFormat="true" ht="13.5"/>
    <row r="15464" s="96" customFormat="true" ht="13.5"/>
    <row r="15465" s="96" customFormat="true" ht="13.5"/>
    <row r="15466" s="96" customFormat="true" ht="13.5"/>
    <row r="15467" s="96" customFormat="true" ht="13.5"/>
    <row r="15468" s="96" customFormat="true" ht="13.5"/>
    <row r="15469" s="96" customFormat="true" ht="13.5"/>
    <row r="15470" s="96" customFormat="true" ht="13.5"/>
    <row r="15471" s="96" customFormat="true" ht="13.5"/>
    <row r="15472" s="96" customFormat="true" ht="13.5"/>
    <row r="15473" s="96" customFormat="true" ht="13.5"/>
    <row r="15474" s="96" customFormat="true" ht="13.5"/>
    <row r="15475" s="96" customFormat="true" ht="13.5"/>
    <row r="15476" s="96" customFormat="true" ht="13.5"/>
    <row r="15477" s="96" customFormat="true" ht="13.5"/>
    <row r="15478" s="96" customFormat="true" ht="13.5"/>
    <row r="15479" s="96" customFormat="true" ht="13.5"/>
    <row r="15480" s="96" customFormat="true" ht="13.5"/>
    <row r="15481" s="96" customFormat="true" ht="13.5"/>
    <row r="15482" s="96" customFormat="true" ht="13.5"/>
    <row r="15483" s="96" customFormat="true" ht="13.5"/>
    <row r="15484" s="96" customFormat="true" ht="13.5"/>
    <row r="15485" s="96" customFormat="true" ht="13.5"/>
    <row r="15486" s="96" customFormat="true" ht="13.5"/>
    <row r="15487" s="96" customFormat="true" ht="13.5"/>
    <row r="15488" s="96" customFormat="true" ht="13.5"/>
    <row r="15489" s="96" customFormat="true" ht="13.5"/>
    <row r="15490" s="96" customFormat="true" ht="13.5"/>
    <row r="15491" s="96" customFormat="true" ht="13.5"/>
    <row r="15492" s="96" customFormat="true" ht="13.5"/>
    <row r="15493" s="96" customFormat="true" ht="13.5"/>
    <row r="15494" s="96" customFormat="true" ht="13.5"/>
    <row r="15495" s="96" customFormat="true" ht="13.5"/>
    <row r="15496" s="96" customFormat="true" ht="13.5"/>
    <row r="15497" s="96" customFormat="true" ht="13.5"/>
    <row r="15498" s="96" customFormat="true" ht="13.5"/>
    <row r="15499" s="96" customFormat="true" ht="13.5"/>
    <row r="15500" s="96" customFormat="true" ht="13.5"/>
    <row r="15501" s="96" customFormat="true" ht="13.5"/>
    <row r="15502" s="96" customFormat="true" ht="13.5"/>
    <row r="15503" s="96" customFormat="true" ht="13.5"/>
    <row r="15504" s="96" customFormat="true" ht="13.5"/>
    <row r="15505" s="96" customFormat="true" ht="13.5"/>
    <row r="15506" s="96" customFormat="true" ht="13.5"/>
    <row r="15507" s="96" customFormat="true" ht="13.5"/>
    <row r="15508" s="96" customFormat="true" ht="13.5"/>
    <row r="15509" s="96" customFormat="true" ht="13.5"/>
    <row r="15510" s="96" customFormat="true" ht="13.5"/>
    <row r="15511" s="96" customFormat="true" ht="13.5"/>
    <row r="15512" s="96" customFormat="true" ht="13.5"/>
    <row r="15513" s="96" customFormat="true" ht="13.5"/>
    <row r="15514" s="96" customFormat="true" ht="13.5"/>
    <row r="15515" s="96" customFormat="true" ht="13.5"/>
    <row r="15516" s="96" customFormat="true" ht="13.5"/>
    <row r="15517" s="96" customFormat="true" ht="13.5"/>
    <row r="15518" s="96" customFormat="true" ht="13.5"/>
    <row r="15519" s="96" customFormat="true" ht="13.5"/>
    <row r="15520" s="96" customFormat="true" ht="13.5"/>
    <row r="15521" s="96" customFormat="true" ht="13.5"/>
    <row r="15522" s="96" customFormat="true" ht="13.5"/>
    <row r="15523" s="96" customFormat="true" ht="13.5"/>
    <row r="15524" s="96" customFormat="true" ht="13.5"/>
    <row r="15525" s="96" customFormat="true" ht="13.5"/>
    <row r="15526" s="96" customFormat="true" ht="13.5"/>
    <row r="15527" s="96" customFormat="true" ht="13.5"/>
    <row r="15528" s="96" customFormat="true" ht="13.5"/>
    <row r="15529" s="96" customFormat="true" ht="13.5"/>
    <row r="15530" s="96" customFormat="true" ht="13.5"/>
    <row r="15531" s="96" customFormat="true" ht="13.5"/>
    <row r="15532" s="96" customFormat="true" ht="13.5"/>
    <row r="15533" s="96" customFormat="true" ht="13.5"/>
    <row r="15534" s="96" customFormat="true" ht="13.5"/>
    <row r="15535" s="96" customFormat="true" ht="13.5"/>
    <row r="15536" s="96" customFormat="true" ht="13.5"/>
    <row r="15537" s="96" customFormat="true" ht="13.5"/>
    <row r="15538" s="96" customFormat="true" ht="13.5"/>
    <row r="15539" s="96" customFormat="true" ht="13.5"/>
    <row r="15540" s="96" customFormat="true" ht="13.5"/>
    <row r="15541" s="96" customFormat="true" ht="13.5"/>
    <row r="15542" s="96" customFormat="true" ht="13.5"/>
    <row r="15543" s="96" customFormat="true" ht="13.5"/>
    <row r="15544" s="96" customFormat="true" ht="13.5"/>
    <row r="15545" s="96" customFormat="true" ht="13.5"/>
    <row r="15546" s="96" customFormat="true" ht="13.5"/>
    <row r="15547" s="96" customFormat="true" ht="13.5"/>
    <row r="15548" s="96" customFormat="true" ht="13.5"/>
    <row r="15549" s="96" customFormat="true" ht="13.5"/>
    <row r="15550" s="96" customFormat="true" ht="13.5"/>
    <row r="15551" s="96" customFormat="true" ht="13.5"/>
    <row r="15552" s="96" customFormat="true" ht="13.5"/>
    <row r="15553" s="96" customFormat="true" ht="13.5"/>
    <row r="15554" s="96" customFormat="true" ht="13.5"/>
    <row r="15555" s="96" customFormat="true" ht="13.5"/>
    <row r="15556" s="96" customFormat="true" ht="13.5"/>
    <row r="15557" s="96" customFormat="true" ht="13.5"/>
    <row r="15558" s="96" customFormat="true" ht="13.5"/>
    <row r="15559" s="96" customFormat="true" ht="13.5"/>
    <row r="15560" s="96" customFormat="true" ht="13.5"/>
    <row r="15561" s="96" customFormat="true" ht="13.5"/>
    <row r="15562" s="96" customFormat="true" ht="13.5"/>
    <row r="15563" s="96" customFormat="true" ht="13.5"/>
    <row r="15564" s="96" customFormat="true" ht="13.5"/>
    <row r="15565" s="96" customFormat="true" ht="13.5"/>
    <row r="15566" s="96" customFormat="true" ht="13.5"/>
    <row r="15567" s="96" customFormat="true" ht="13.5"/>
    <row r="15568" s="96" customFormat="true" ht="13.5"/>
    <row r="15569" s="96" customFormat="true" ht="13.5"/>
    <row r="15570" s="96" customFormat="true" ht="13.5"/>
    <row r="15571" s="96" customFormat="true" ht="13.5"/>
    <row r="15572" s="96" customFormat="true" ht="13.5"/>
    <row r="15573" s="96" customFormat="true" ht="13.5"/>
    <row r="15574" s="96" customFormat="true" ht="13.5"/>
    <row r="15575" s="96" customFormat="true" ht="13.5"/>
    <row r="15576" s="96" customFormat="true" ht="13.5"/>
    <row r="15577" s="96" customFormat="true" ht="13.5"/>
    <row r="15578" s="96" customFormat="true" ht="13.5"/>
    <row r="15579" s="96" customFormat="true" ht="13.5"/>
    <row r="15580" s="96" customFormat="true" ht="13.5"/>
    <row r="15581" s="96" customFormat="true" ht="13.5"/>
    <row r="15582" s="96" customFormat="true" ht="13.5"/>
    <row r="15583" s="96" customFormat="true" ht="13.5"/>
    <row r="15584" s="96" customFormat="true" ht="13.5"/>
    <row r="15585" s="96" customFormat="true" ht="13.5"/>
    <row r="15586" s="96" customFormat="true" ht="13.5"/>
    <row r="15587" s="96" customFormat="true" ht="13.5"/>
    <row r="15588" s="96" customFormat="true" ht="13.5"/>
    <row r="15589" s="96" customFormat="true" ht="13.5"/>
    <row r="15590" s="96" customFormat="true" ht="13.5"/>
    <row r="15591" s="96" customFormat="true" ht="13.5"/>
    <row r="15592" s="96" customFormat="true" ht="13.5"/>
    <row r="15593" s="96" customFormat="true" ht="13.5"/>
    <row r="15594" s="96" customFormat="true" ht="13.5"/>
    <row r="15595" s="96" customFormat="true" ht="13.5"/>
    <row r="15596" s="96" customFormat="true" ht="13.5"/>
    <row r="15597" s="96" customFormat="true" ht="13.5"/>
    <row r="15598" s="96" customFormat="true" ht="13.5"/>
    <row r="15599" s="96" customFormat="true" ht="13.5"/>
    <row r="15600" s="96" customFormat="true" ht="13.5"/>
    <row r="15601" s="96" customFormat="true" ht="13.5"/>
    <row r="15602" s="96" customFormat="true" ht="13.5"/>
    <row r="15603" s="96" customFormat="true" ht="13.5"/>
    <row r="15604" s="96" customFormat="true" ht="13.5"/>
    <row r="15605" s="96" customFormat="true" ht="13.5"/>
    <row r="15606" s="96" customFormat="true" ht="13.5"/>
    <row r="15607" s="96" customFormat="true" ht="13.5"/>
    <row r="15608" s="96" customFormat="true" ht="13.5"/>
    <row r="15609" s="96" customFormat="true" ht="13.5"/>
    <row r="15610" s="96" customFormat="true" ht="13.5"/>
    <row r="15611" s="96" customFormat="true" ht="13.5"/>
    <row r="15612" s="96" customFormat="true" ht="13.5"/>
    <row r="15613" s="96" customFormat="true" ht="13.5"/>
    <row r="15614" s="96" customFormat="true" ht="13.5"/>
    <row r="15615" s="96" customFormat="true" ht="13.5"/>
    <row r="15616" s="96" customFormat="true" ht="13.5"/>
    <row r="15617" s="96" customFormat="true" ht="13.5"/>
    <row r="15618" s="96" customFormat="true" ht="13.5"/>
    <row r="15619" s="96" customFormat="true" ht="13.5"/>
    <row r="15620" s="96" customFormat="true" ht="13.5"/>
    <row r="15621" s="96" customFormat="true" ht="13.5"/>
    <row r="15622" s="96" customFormat="true" ht="13.5"/>
    <row r="15623" s="96" customFormat="true" ht="13.5"/>
    <row r="15624" s="96" customFormat="true" ht="13.5"/>
    <row r="15625" s="96" customFormat="true" ht="13.5"/>
    <row r="15626" s="96" customFormat="true" ht="13.5"/>
    <row r="15627" s="96" customFormat="true" ht="13.5"/>
    <row r="15628" s="96" customFormat="true" ht="13.5"/>
    <row r="15629" s="96" customFormat="true" ht="13.5"/>
    <row r="15630" s="96" customFormat="true" ht="13.5"/>
    <row r="15631" s="96" customFormat="true" ht="13.5"/>
    <row r="15632" s="96" customFormat="true" ht="13.5"/>
    <row r="15633" s="96" customFormat="true" ht="13.5"/>
    <row r="15634" s="96" customFormat="true" ht="13.5"/>
    <row r="15635" s="96" customFormat="true" ht="13.5"/>
    <row r="15636" s="96" customFormat="true" ht="13.5"/>
    <row r="15637" s="96" customFormat="true" ht="13.5"/>
    <row r="15638" s="96" customFormat="true" ht="13.5"/>
    <row r="15639" s="96" customFormat="true" ht="13.5"/>
    <row r="15640" s="96" customFormat="true" ht="13.5"/>
    <row r="15641" s="96" customFormat="true" ht="13.5"/>
    <row r="15642" s="96" customFormat="true" ht="13.5"/>
    <row r="15643" s="96" customFormat="true" ht="13.5"/>
    <row r="15644" s="96" customFormat="true" ht="13.5"/>
    <row r="15645" s="96" customFormat="true" ht="13.5"/>
    <row r="15646" s="96" customFormat="true" ht="13.5"/>
    <row r="15647" s="96" customFormat="true" ht="13.5"/>
    <row r="15648" s="96" customFormat="true" ht="13.5"/>
    <row r="15649" s="96" customFormat="true" ht="13.5"/>
    <row r="15650" s="96" customFormat="true" ht="13.5"/>
    <row r="15651" s="96" customFormat="true" ht="13.5"/>
    <row r="15652" s="96" customFormat="true" ht="13.5"/>
    <row r="15653" s="96" customFormat="true" ht="13.5"/>
    <row r="15654" s="96" customFormat="true" ht="13.5"/>
    <row r="15655" s="96" customFormat="true" ht="13.5"/>
    <row r="15656" s="96" customFormat="true" ht="13.5"/>
    <row r="15657" s="96" customFormat="true" ht="13.5"/>
    <row r="15658" s="96" customFormat="true" ht="13.5"/>
    <row r="15659" s="96" customFormat="true" ht="13.5"/>
    <row r="15660" s="96" customFormat="true" ht="13.5"/>
    <row r="15661" s="96" customFormat="true" ht="13.5"/>
    <row r="15662" s="96" customFormat="true" ht="13.5"/>
    <row r="15663" s="96" customFormat="true" ht="13.5"/>
    <row r="15664" s="96" customFormat="true" ht="13.5"/>
    <row r="15665" s="96" customFormat="true" ht="13.5"/>
    <row r="15666" s="96" customFormat="true" ht="13.5"/>
    <row r="15667" s="96" customFormat="true" ht="13.5"/>
    <row r="15668" s="96" customFormat="true" ht="13.5"/>
    <row r="15669" s="96" customFormat="true" ht="13.5"/>
    <row r="15670" s="96" customFormat="true" ht="13.5"/>
    <row r="15671" s="96" customFormat="true" ht="13.5"/>
    <row r="15672" s="96" customFormat="true" ht="13.5"/>
    <row r="15673" s="96" customFormat="true" ht="13.5"/>
    <row r="15674" s="96" customFormat="true" ht="13.5"/>
    <row r="15675" s="96" customFormat="true" ht="13.5"/>
    <row r="15676" s="96" customFormat="true" ht="13.5"/>
    <row r="15677" s="96" customFormat="true" ht="13.5"/>
    <row r="15678" s="96" customFormat="true" ht="13.5"/>
    <row r="15679" s="96" customFormat="true" ht="13.5"/>
    <row r="15680" s="96" customFormat="true" ht="13.5"/>
    <row r="15681" s="96" customFormat="true" ht="13.5"/>
    <row r="15682" s="96" customFormat="true" ht="13.5"/>
    <row r="15683" s="96" customFormat="true" ht="13.5"/>
    <row r="15684" s="96" customFormat="true" ht="13.5"/>
    <row r="15685" s="96" customFormat="true" ht="13.5"/>
    <row r="15686" s="96" customFormat="true" ht="13.5"/>
    <row r="15687" s="96" customFormat="true" ht="13.5"/>
    <row r="15688" s="96" customFormat="true" ht="13.5"/>
    <row r="15689" s="96" customFormat="true" ht="13.5"/>
    <row r="15690" s="96" customFormat="true" ht="13.5"/>
    <row r="15691" s="96" customFormat="true" ht="13.5"/>
    <row r="15692" s="96" customFormat="true" ht="13.5"/>
    <row r="15693" s="96" customFormat="true" ht="13.5"/>
    <row r="15694" s="96" customFormat="true" ht="13.5"/>
    <row r="15695" s="96" customFormat="true" ht="13.5"/>
    <row r="15696" s="96" customFormat="true" ht="13.5"/>
    <row r="15697" s="96" customFormat="true" ht="13.5"/>
    <row r="15698" s="96" customFormat="true" ht="13.5"/>
    <row r="15699" s="96" customFormat="true" ht="13.5"/>
    <row r="15700" s="96" customFormat="true" ht="13.5"/>
    <row r="15701" s="96" customFormat="true" ht="13.5"/>
    <row r="15702" s="96" customFormat="true" ht="13.5"/>
    <row r="15703" s="96" customFormat="true" ht="13.5"/>
    <row r="15704" s="96" customFormat="true" ht="13.5"/>
    <row r="15705" s="96" customFormat="true" ht="13.5"/>
    <row r="15706" s="96" customFormat="true" ht="13.5"/>
    <row r="15707" s="96" customFormat="true" ht="13.5"/>
    <row r="15708" s="96" customFormat="true" ht="13.5"/>
    <row r="15709" s="96" customFormat="true" ht="13.5"/>
    <row r="15710" s="96" customFormat="true" ht="13.5"/>
    <row r="15711" s="96" customFormat="true" ht="13.5"/>
    <row r="15712" s="96" customFormat="true" ht="13.5"/>
    <row r="15713" s="96" customFormat="true" ht="13.5"/>
    <row r="15714" s="96" customFormat="true" ht="13.5"/>
    <row r="15715" s="96" customFormat="true" ht="13.5"/>
    <row r="15716" s="96" customFormat="true" ht="13.5"/>
    <row r="15717" s="96" customFormat="true" ht="13.5"/>
    <row r="15718" s="96" customFormat="true" ht="13.5"/>
    <row r="15719" s="96" customFormat="true" ht="13.5"/>
    <row r="15720" s="96" customFormat="true" ht="13.5"/>
    <row r="15721" s="96" customFormat="true" ht="13.5"/>
    <row r="15722" s="96" customFormat="true" ht="13.5"/>
    <row r="15723" s="96" customFormat="true" ht="13.5"/>
    <row r="15724" s="96" customFormat="true" ht="13.5"/>
    <row r="15725" s="96" customFormat="true" ht="13.5"/>
    <row r="15726" s="96" customFormat="true" ht="13.5"/>
    <row r="15727" s="96" customFormat="true" ht="13.5"/>
    <row r="15728" s="96" customFormat="true" ht="13.5"/>
    <row r="15729" s="96" customFormat="true" ht="13.5"/>
    <row r="15730" s="96" customFormat="true" ht="13.5"/>
    <row r="15731" s="96" customFormat="true" ht="13.5"/>
    <row r="15732" s="96" customFormat="true" ht="13.5"/>
    <row r="15733" s="96" customFormat="true" ht="13.5"/>
    <row r="15734" s="96" customFormat="true" ht="13.5"/>
    <row r="15735" s="96" customFormat="true" ht="13.5"/>
    <row r="15736" s="96" customFormat="true" ht="13.5"/>
    <row r="15737" s="96" customFormat="true" ht="13.5"/>
    <row r="15738" s="96" customFormat="true" ht="13.5"/>
    <row r="15739" s="96" customFormat="true" ht="13.5"/>
    <row r="15740" s="96" customFormat="true" ht="13.5"/>
    <row r="15741" s="96" customFormat="true" ht="13.5"/>
    <row r="15742" s="96" customFormat="true" ht="13.5"/>
    <row r="15743" s="96" customFormat="true" ht="13.5"/>
    <row r="15744" s="96" customFormat="true" ht="13.5"/>
    <row r="15745" s="96" customFormat="true" ht="13.5"/>
    <row r="15746" s="96" customFormat="true" ht="13.5"/>
    <row r="15747" s="96" customFormat="true" ht="13.5"/>
    <row r="15748" s="96" customFormat="true" ht="13.5"/>
    <row r="15749" s="96" customFormat="true" ht="13.5"/>
    <row r="15750" s="96" customFormat="true" ht="13.5"/>
    <row r="15751" s="96" customFormat="true" ht="13.5"/>
    <row r="15752" s="96" customFormat="true" ht="13.5"/>
    <row r="15753" s="96" customFormat="true" ht="13.5"/>
    <row r="15754" s="96" customFormat="true" ht="13.5"/>
    <row r="15755" s="96" customFormat="true" ht="13.5"/>
    <row r="15756" s="96" customFormat="true" ht="13.5"/>
    <row r="15757" s="96" customFormat="true" ht="13.5"/>
    <row r="15758" s="96" customFormat="true" ht="13.5"/>
    <row r="15759" s="96" customFormat="true" ht="13.5"/>
    <row r="15760" s="96" customFormat="true" ht="13.5"/>
    <row r="15761" s="96" customFormat="true" ht="13.5"/>
    <row r="15762" s="96" customFormat="true" ht="13.5"/>
    <row r="15763" s="96" customFormat="true" ht="13.5"/>
    <row r="15764" s="96" customFormat="true" ht="13.5"/>
    <row r="15765" s="96" customFormat="true" ht="13.5"/>
    <row r="15766" s="96" customFormat="true" ht="13.5"/>
    <row r="15767" s="96" customFormat="true" ht="13.5"/>
    <row r="15768" s="96" customFormat="true" ht="13.5"/>
    <row r="15769" s="96" customFormat="true" ht="13.5"/>
    <row r="15770" s="96" customFormat="true" ht="13.5"/>
    <row r="15771" s="96" customFormat="true" ht="13.5"/>
    <row r="15772" s="96" customFormat="true" ht="13.5"/>
    <row r="15773" s="96" customFormat="true" ht="13.5"/>
    <row r="15774" s="96" customFormat="true" ht="13.5"/>
    <row r="15775" s="96" customFormat="true" ht="13.5"/>
    <row r="15776" s="96" customFormat="true" ht="13.5"/>
    <row r="15777" s="96" customFormat="true" ht="13.5"/>
    <row r="15778" s="96" customFormat="true" ht="13.5"/>
    <row r="15779" s="96" customFormat="true" ht="13.5"/>
    <row r="15780" s="96" customFormat="true" ht="13.5"/>
    <row r="15781" s="96" customFormat="true" ht="13.5"/>
    <row r="15782" s="96" customFormat="true" ht="13.5"/>
    <row r="15783" s="96" customFormat="true" ht="13.5"/>
    <row r="15784" s="96" customFormat="true" ht="13.5"/>
    <row r="15785" s="96" customFormat="true" ht="13.5"/>
    <row r="15786" s="96" customFormat="true" ht="13.5"/>
    <row r="15787" s="96" customFormat="true" ht="13.5"/>
    <row r="15788" s="96" customFormat="true" ht="13.5"/>
    <row r="15789" s="96" customFormat="true" ht="13.5"/>
    <row r="15790" s="96" customFormat="true" ht="13.5"/>
    <row r="15791" s="96" customFormat="true" ht="13.5"/>
    <row r="15792" s="96" customFormat="true" ht="13.5"/>
    <row r="15793" s="96" customFormat="true" ht="13.5"/>
    <row r="15794" s="96" customFormat="true" ht="13.5"/>
    <row r="15795" s="96" customFormat="true" ht="13.5"/>
    <row r="15796" s="96" customFormat="true" ht="13.5"/>
    <row r="15797" s="96" customFormat="true" ht="13.5"/>
    <row r="15798" s="96" customFormat="true" ht="13.5"/>
    <row r="15799" s="96" customFormat="true" ht="13.5"/>
    <row r="15800" s="96" customFormat="true" ht="13.5"/>
    <row r="15801" s="96" customFormat="true" ht="13.5"/>
    <row r="15802" s="96" customFormat="true" ht="13.5"/>
    <row r="15803" s="96" customFormat="true" ht="13.5"/>
    <row r="15804" s="96" customFormat="true" ht="13.5"/>
    <row r="15805" s="96" customFormat="true" ht="13.5"/>
    <row r="15806" s="96" customFormat="true" ht="13.5"/>
    <row r="15807" s="96" customFormat="true" ht="13.5"/>
    <row r="15808" s="96" customFormat="true" ht="13.5"/>
    <row r="15809" s="96" customFormat="true" ht="13.5"/>
    <row r="15810" s="96" customFormat="true" ht="13.5"/>
    <row r="15811" s="96" customFormat="true" ht="13.5"/>
    <row r="15812" s="96" customFormat="true" ht="13.5"/>
    <row r="15813" s="96" customFormat="true" ht="13.5"/>
    <row r="15814" s="96" customFormat="true" ht="13.5"/>
    <row r="15815" s="96" customFormat="true" ht="13.5"/>
    <row r="15816" s="96" customFormat="true" ht="13.5"/>
    <row r="15817" s="96" customFormat="true" ht="13.5"/>
    <row r="15818" s="96" customFormat="true" ht="13.5"/>
    <row r="15819" s="96" customFormat="true" ht="13.5"/>
    <row r="15820" s="96" customFormat="true" ht="13.5"/>
    <row r="15821" s="96" customFormat="true" ht="13.5"/>
    <row r="15822" s="96" customFormat="true" ht="13.5"/>
    <row r="15823" s="96" customFormat="true" ht="13.5"/>
    <row r="15824" s="96" customFormat="true" ht="13.5"/>
    <row r="15825" s="96" customFormat="true" ht="13.5"/>
    <row r="15826" s="96" customFormat="true" ht="13.5"/>
    <row r="15827" s="96" customFormat="true" ht="13.5"/>
    <row r="15828" s="96" customFormat="true" ht="13.5"/>
    <row r="15829" s="96" customFormat="true" ht="13.5"/>
    <row r="15830" s="96" customFormat="true" ht="13.5"/>
    <row r="15831" s="96" customFormat="true" ht="13.5"/>
    <row r="15832" s="96" customFormat="true" ht="13.5"/>
    <row r="15833" s="96" customFormat="true" ht="13.5"/>
    <row r="15834" s="96" customFormat="true" ht="13.5"/>
    <row r="15835" s="96" customFormat="true" ht="13.5"/>
    <row r="15836" s="96" customFormat="true" ht="13.5"/>
    <row r="15837" s="96" customFormat="true" ht="13.5"/>
    <row r="15838" s="96" customFormat="true" ht="13.5"/>
    <row r="15839" s="96" customFormat="true" ht="13.5"/>
    <row r="15840" s="96" customFormat="true" ht="13.5"/>
    <row r="15841" s="96" customFormat="true" ht="13.5"/>
    <row r="15842" s="96" customFormat="true" ht="13.5"/>
    <row r="15843" s="96" customFormat="true" ht="13.5"/>
    <row r="15844" s="96" customFormat="true" ht="13.5"/>
    <row r="15845" s="96" customFormat="true" ht="13.5"/>
    <row r="15846" s="96" customFormat="true" ht="13.5"/>
    <row r="15847" s="96" customFormat="true" ht="13.5"/>
    <row r="15848" s="96" customFormat="true" ht="13.5"/>
    <row r="15849" s="96" customFormat="true" ht="13.5"/>
    <row r="15850" s="96" customFormat="true" ht="13.5"/>
    <row r="15851" s="96" customFormat="true" ht="13.5"/>
    <row r="15852" s="96" customFormat="true" ht="13.5"/>
    <row r="15853" s="96" customFormat="true" ht="13.5"/>
    <row r="15854" s="96" customFormat="true" ht="13.5"/>
    <row r="15855" s="96" customFormat="true" ht="13.5"/>
    <row r="15856" s="96" customFormat="true" ht="13.5"/>
    <row r="15857" s="96" customFormat="true" ht="13.5"/>
    <row r="15858" s="96" customFormat="true" ht="13.5"/>
    <row r="15859" s="96" customFormat="true" ht="13.5"/>
    <row r="15860" s="96" customFormat="true" ht="13.5"/>
    <row r="15861" s="96" customFormat="true" ht="13.5"/>
    <row r="15862" s="96" customFormat="true" ht="13.5"/>
    <row r="15863" s="96" customFormat="true" ht="13.5"/>
    <row r="15864" s="96" customFormat="true" ht="13.5"/>
    <row r="15865" s="96" customFormat="true" ht="13.5"/>
    <row r="15866" s="96" customFormat="true" ht="13.5"/>
    <row r="15867" s="96" customFormat="true" ht="13.5"/>
    <row r="15868" s="96" customFormat="true" ht="13.5"/>
    <row r="15869" s="96" customFormat="true" ht="13.5"/>
    <row r="15870" s="96" customFormat="true" ht="13.5"/>
    <row r="15871" s="96" customFormat="true" ht="13.5"/>
    <row r="15872" s="96" customFormat="true" ht="13.5"/>
    <row r="15873" s="96" customFormat="true" ht="13.5"/>
    <row r="15874" s="96" customFormat="true" ht="13.5"/>
    <row r="15875" s="96" customFormat="true" ht="13.5"/>
    <row r="15876" s="96" customFormat="true" ht="13.5"/>
    <row r="15877" s="96" customFormat="true" ht="13.5"/>
    <row r="15878" s="96" customFormat="true" ht="13.5"/>
    <row r="15879" s="96" customFormat="true" ht="13.5"/>
    <row r="15880" s="96" customFormat="true" ht="13.5"/>
    <row r="15881" s="96" customFormat="true" ht="13.5"/>
    <row r="15882" s="96" customFormat="true" ht="13.5"/>
    <row r="15883" s="96" customFormat="true" ht="13.5"/>
    <row r="15884" s="96" customFormat="true" ht="13.5"/>
    <row r="15885" s="96" customFormat="true" ht="13.5"/>
    <row r="15886" s="96" customFormat="true" ht="13.5"/>
    <row r="15887" s="96" customFormat="true" ht="13.5"/>
    <row r="15888" s="96" customFormat="true" ht="13.5"/>
    <row r="15889" s="96" customFormat="true" ht="13.5"/>
    <row r="15890" s="96" customFormat="true" ht="13.5"/>
    <row r="15891" s="96" customFormat="true" ht="13.5"/>
    <row r="15892" s="96" customFormat="true" ht="13.5"/>
    <row r="15893" s="96" customFormat="true" ht="13.5"/>
    <row r="15894" s="96" customFormat="true" ht="13.5"/>
    <row r="15895" s="96" customFormat="true" ht="13.5"/>
    <row r="15896" s="96" customFormat="true" ht="13.5"/>
    <row r="15897" s="96" customFormat="true" ht="13.5"/>
    <row r="15898" s="96" customFormat="true" ht="13.5"/>
    <row r="15899" s="96" customFormat="true" ht="13.5"/>
    <row r="15900" s="96" customFormat="true" ht="13.5"/>
    <row r="15901" s="96" customFormat="true" ht="13.5"/>
    <row r="15902" s="96" customFormat="true" ht="13.5"/>
    <row r="15903" s="96" customFormat="true" ht="13.5"/>
    <row r="15904" s="96" customFormat="true" ht="13.5"/>
    <row r="15905" s="96" customFormat="true" ht="13.5"/>
    <row r="15906" s="96" customFormat="true" ht="13.5"/>
    <row r="15907" s="96" customFormat="true" ht="13.5"/>
    <row r="15908" s="96" customFormat="true" ht="13.5"/>
    <row r="15909" s="96" customFormat="true" ht="13.5"/>
    <row r="15910" s="96" customFormat="true" ht="13.5"/>
    <row r="15911" s="96" customFormat="true" ht="13.5"/>
    <row r="15912" s="96" customFormat="true" ht="13.5"/>
    <row r="15913" s="96" customFormat="true" ht="13.5"/>
    <row r="15914" s="96" customFormat="true" ht="13.5"/>
    <row r="15915" s="96" customFormat="true" ht="13.5"/>
    <row r="15916" s="96" customFormat="true" ht="13.5"/>
    <row r="15917" s="96" customFormat="true" ht="13.5"/>
    <row r="15918" s="96" customFormat="true" ht="13.5"/>
    <row r="15919" s="96" customFormat="true" ht="13.5"/>
    <row r="15920" s="96" customFormat="true" ht="13.5"/>
    <row r="15921" s="96" customFormat="true" ht="13.5"/>
    <row r="15922" s="96" customFormat="true" ht="13.5"/>
    <row r="15923" s="96" customFormat="true" ht="13.5"/>
    <row r="15924" s="96" customFormat="true" ht="13.5"/>
    <row r="15925" s="96" customFormat="true" ht="13.5"/>
    <row r="15926" s="96" customFormat="true" ht="13.5"/>
    <row r="15927" s="96" customFormat="true" ht="13.5"/>
    <row r="15928" s="96" customFormat="true" ht="13.5"/>
    <row r="15929" s="96" customFormat="true" ht="13.5"/>
    <row r="15930" s="96" customFormat="true" ht="13.5"/>
    <row r="15931" s="96" customFormat="true" ht="13.5"/>
    <row r="15932" s="96" customFormat="true" ht="13.5"/>
    <row r="15933" s="96" customFormat="true" ht="13.5"/>
    <row r="15934" s="96" customFormat="true" ht="13.5"/>
    <row r="15935" s="96" customFormat="true" ht="13.5"/>
    <row r="15936" s="96" customFormat="true" ht="13.5"/>
    <row r="15937" s="96" customFormat="true" ht="13.5"/>
    <row r="15938" s="96" customFormat="true" ht="13.5"/>
    <row r="15939" s="96" customFormat="true" ht="13.5"/>
    <row r="15940" s="96" customFormat="true" ht="13.5"/>
    <row r="15941" s="96" customFormat="true" ht="13.5"/>
    <row r="15942" s="96" customFormat="true" ht="13.5"/>
    <row r="15943" s="96" customFormat="true" ht="13.5"/>
    <row r="15944" s="96" customFormat="true" ht="13.5"/>
    <row r="15945" s="96" customFormat="true" ht="13.5"/>
    <row r="15946" s="96" customFormat="true" ht="13.5"/>
    <row r="15947" s="96" customFormat="true" ht="13.5"/>
    <row r="15948" s="96" customFormat="true" ht="13.5"/>
    <row r="15949" s="96" customFormat="true" ht="13.5"/>
    <row r="15950" s="96" customFormat="true" ht="13.5"/>
    <row r="15951" s="96" customFormat="true" ht="13.5"/>
    <row r="15952" s="96" customFormat="true" ht="13.5"/>
    <row r="15953" s="96" customFormat="true" ht="13.5"/>
    <row r="15954" s="96" customFormat="true" ht="13.5"/>
    <row r="15955" s="96" customFormat="true" ht="13.5"/>
    <row r="15956" s="96" customFormat="true" ht="13.5"/>
    <row r="15957" s="96" customFormat="true" ht="13.5"/>
    <row r="15958" s="96" customFormat="true" ht="13.5"/>
    <row r="15959" s="96" customFormat="true" ht="13.5"/>
    <row r="15960" s="96" customFormat="true" ht="13.5"/>
    <row r="15961" s="96" customFormat="true" ht="13.5"/>
    <row r="15962" s="96" customFormat="true" ht="13.5"/>
    <row r="15963" s="96" customFormat="true" ht="13.5"/>
    <row r="15964" s="96" customFormat="true" ht="13.5"/>
    <row r="15965" s="96" customFormat="true" ht="13.5"/>
    <row r="15966" s="96" customFormat="true" ht="13.5"/>
    <row r="15967" s="96" customFormat="true" ht="13.5"/>
    <row r="15968" s="96" customFormat="true" ht="13.5"/>
    <row r="15969" s="96" customFormat="true" ht="13.5"/>
    <row r="15970" s="96" customFormat="true" ht="13.5"/>
    <row r="15971" s="96" customFormat="true" ht="13.5"/>
    <row r="15972" s="96" customFormat="true" ht="13.5"/>
    <row r="15973" s="96" customFormat="true" ht="13.5"/>
    <row r="15974" s="96" customFormat="true" ht="13.5"/>
    <row r="15975" s="96" customFormat="true" ht="13.5"/>
    <row r="15976" s="96" customFormat="true" ht="13.5"/>
    <row r="15977" s="96" customFormat="true" ht="13.5"/>
    <row r="15978" s="96" customFormat="true" ht="13.5"/>
    <row r="15979" s="96" customFormat="true" ht="13.5"/>
    <row r="15980" s="96" customFormat="true" ht="13.5"/>
    <row r="15981" s="96" customFormat="true" ht="13.5"/>
    <row r="15982" s="96" customFormat="true" ht="13.5"/>
    <row r="15983" s="96" customFormat="true" ht="13.5"/>
    <row r="15984" s="96" customFormat="true" ht="13.5"/>
    <row r="15985" s="96" customFormat="true" ht="13.5"/>
    <row r="15986" s="96" customFormat="true" ht="13.5"/>
    <row r="15987" s="96" customFormat="true" ht="13.5"/>
    <row r="15988" s="96" customFormat="true" ht="13.5"/>
    <row r="15989" s="96" customFormat="true" ht="13.5"/>
    <row r="15990" s="96" customFormat="true" ht="13.5"/>
    <row r="15991" s="96" customFormat="true" ht="13.5"/>
    <row r="15992" s="96" customFormat="true" ht="13.5"/>
    <row r="15993" s="96" customFormat="true" ht="13.5"/>
    <row r="15994" s="96" customFormat="true" ht="13.5"/>
    <row r="15995" s="96" customFormat="true" ht="13.5"/>
    <row r="15996" s="96" customFormat="true" ht="13.5"/>
    <row r="15997" s="96" customFormat="true" ht="13.5"/>
    <row r="15998" s="96" customFormat="true" ht="13.5"/>
    <row r="15999" s="96" customFormat="true" ht="13.5"/>
    <row r="16000" s="96" customFormat="true" ht="13.5"/>
    <row r="16001" s="96" customFormat="true" ht="13.5"/>
    <row r="16002" s="96" customFormat="true" ht="13.5"/>
    <row r="16003" s="96" customFormat="true" ht="13.5"/>
    <row r="16004" s="96" customFormat="true" ht="13.5"/>
    <row r="16005" s="96" customFormat="true" ht="13.5"/>
    <row r="16006" s="96" customFormat="true" ht="13.5"/>
    <row r="16007" s="96" customFormat="true" ht="13.5"/>
    <row r="16008" s="96" customFormat="true" ht="13.5"/>
    <row r="16009" s="96" customFormat="true" ht="13.5"/>
    <row r="16010" s="96" customFormat="true" ht="13.5"/>
    <row r="16011" s="96" customFormat="true" ht="13.5"/>
    <row r="16012" s="96" customFormat="true" ht="13.5"/>
    <row r="16013" s="96" customFormat="true" ht="13.5"/>
    <row r="16014" s="96" customFormat="true" ht="13.5"/>
    <row r="16015" s="96" customFormat="true" ht="13.5"/>
    <row r="16016" s="96" customFormat="true" ht="13.5"/>
    <row r="16017" s="96" customFormat="true" ht="13.5"/>
    <row r="16018" s="96" customFormat="true" ht="13.5"/>
    <row r="16019" s="96" customFormat="true" ht="13.5"/>
    <row r="16020" s="96" customFormat="true" ht="13.5"/>
    <row r="16021" s="96" customFormat="true" ht="13.5"/>
    <row r="16022" s="96" customFormat="true" ht="13.5"/>
    <row r="16023" s="96" customFormat="true" ht="13.5"/>
    <row r="16024" s="96" customFormat="true" ht="13.5"/>
    <row r="16025" s="96" customFormat="true" ht="13.5"/>
    <row r="16026" s="96" customFormat="true" ht="13.5"/>
    <row r="16027" s="96" customFormat="true" ht="13.5"/>
    <row r="16028" s="96" customFormat="true" ht="13.5"/>
    <row r="16029" s="96" customFormat="true" ht="13.5"/>
    <row r="16030" s="96" customFormat="true" ht="13.5"/>
    <row r="16031" s="96" customFormat="true" ht="13.5"/>
    <row r="16032" s="96" customFormat="true" ht="13.5"/>
    <row r="16033" s="96" customFormat="true" ht="13.5"/>
    <row r="16034" s="96" customFormat="true" ht="13.5"/>
    <row r="16035" s="96" customFormat="true" ht="13.5"/>
    <row r="16036" s="96" customFormat="true" ht="13.5"/>
    <row r="16037" s="96" customFormat="true" ht="13.5"/>
    <row r="16038" s="96" customFormat="true" ht="13.5"/>
    <row r="16039" s="96" customFormat="true" ht="13.5"/>
    <row r="16040" s="96" customFormat="true" ht="13.5"/>
    <row r="16041" s="96" customFormat="true" ht="13.5"/>
    <row r="16042" s="96" customFormat="true" ht="13.5"/>
    <row r="16043" s="96" customFormat="true" ht="13.5"/>
    <row r="16044" s="96" customFormat="true" ht="13.5"/>
    <row r="16045" s="96" customFormat="true" ht="13.5"/>
    <row r="16046" s="96" customFormat="true" ht="13.5"/>
    <row r="16047" s="96" customFormat="true" ht="13.5"/>
    <row r="16048" s="96" customFormat="true" ht="13.5"/>
    <row r="16049" s="96" customFormat="true" ht="13.5"/>
    <row r="16050" s="96" customFormat="true" ht="13.5"/>
    <row r="16051" s="96" customFormat="true" ht="13.5"/>
    <row r="16052" s="96" customFormat="true" ht="13.5"/>
    <row r="16053" s="96" customFormat="true" ht="13.5"/>
    <row r="16054" s="96" customFormat="true" ht="13.5"/>
    <row r="16055" s="96" customFormat="true" ht="13.5"/>
    <row r="16056" s="96" customFormat="true" ht="13.5"/>
    <row r="16057" s="96" customFormat="true" ht="13.5"/>
    <row r="16058" s="96" customFormat="true" ht="13.5"/>
    <row r="16059" s="96" customFormat="true" ht="13.5"/>
    <row r="16060" s="96" customFormat="true" ht="13.5"/>
    <row r="16061" s="96" customFormat="true" ht="13.5"/>
    <row r="16062" s="96" customFormat="true" ht="13.5"/>
    <row r="16063" s="96" customFormat="true" ht="13.5"/>
    <row r="16064" s="96" customFormat="true" ht="13.5"/>
    <row r="16065" s="96" customFormat="true" ht="13.5"/>
    <row r="16066" s="96" customFormat="true" ht="13.5"/>
    <row r="16067" s="96" customFormat="true" ht="13.5"/>
    <row r="16068" s="96" customFormat="true" ht="13.5"/>
    <row r="16069" s="96" customFormat="true" ht="13.5"/>
    <row r="16070" s="96" customFormat="true" ht="13.5"/>
    <row r="16071" s="96" customFormat="true" ht="13.5"/>
    <row r="16072" s="96" customFormat="true" ht="13.5"/>
    <row r="16073" s="96" customFormat="true" ht="13.5"/>
    <row r="16074" s="96" customFormat="true" ht="13.5"/>
    <row r="16075" s="96" customFormat="true" ht="13.5"/>
    <row r="16076" s="96" customFormat="true" ht="13.5"/>
    <row r="16077" s="96" customFormat="true" ht="13.5"/>
    <row r="16078" s="96" customFormat="true" ht="13.5"/>
    <row r="16079" s="96" customFormat="true" ht="13.5"/>
    <row r="16080" s="96" customFormat="true" ht="13.5"/>
    <row r="16081" s="96" customFormat="true" ht="13.5"/>
    <row r="16082" s="96" customFormat="true" ht="13.5"/>
    <row r="16083" s="96" customFormat="true" ht="13.5"/>
    <row r="16084" s="96" customFormat="true" ht="13.5"/>
    <row r="16085" s="96" customFormat="true" ht="13.5"/>
    <row r="16086" s="96" customFormat="true" ht="13.5"/>
    <row r="16087" s="96" customFormat="true" ht="13.5"/>
    <row r="16088" s="96" customFormat="true" ht="13.5"/>
    <row r="16089" s="96" customFormat="true" ht="13.5"/>
    <row r="16090" s="96" customFormat="true" ht="13.5"/>
    <row r="16091" s="96" customFormat="true" ht="13.5"/>
    <row r="16092" s="96" customFormat="true" ht="13.5"/>
    <row r="16093" s="96" customFormat="true" ht="13.5"/>
    <row r="16094" s="96" customFormat="true" ht="13.5"/>
    <row r="16095" s="96" customFormat="true" ht="13.5"/>
    <row r="16096" s="96" customFormat="true" ht="13.5"/>
    <row r="16097" s="96" customFormat="true" ht="13.5"/>
    <row r="16098" s="96" customFormat="true" ht="13.5"/>
    <row r="16099" s="96" customFormat="true" ht="13.5"/>
    <row r="16100" s="96" customFormat="true" ht="13.5"/>
    <row r="16101" s="96" customFormat="true" ht="13.5"/>
    <row r="16102" s="96" customFormat="true" ht="13.5"/>
    <row r="16103" s="96" customFormat="true" ht="13.5"/>
    <row r="16104" s="96" customFormat="true" ht="13.5"/>
    <row r="16105" s="96" customFormat="true" ht="13.5"/>
    <row r="16106" s="96" customFormat="true" ht="13.5"/>
    <row r="16107" s="96" customFormat="true" ht="13.5"/>
    <row r="16108" s="96" customFormat="true" ht="13.5"/>
    <row r="16109" s="96" customFormat="true" ht="13.5"/>
    <row r="16110" s="96" customFormat="true" ht="13.5"/>
    <row r="16111" s="96" customFormat="true" ht="13.5"/>
    <row r="16112" s="96" customFormat="true" ht="13.5"/>
    <row r="16113" s="96" customFormat="true" ht="13.5"/>
    <row r="16114" s="96" customFormat="true" ht="13.5"/>
    <row r="16115" s="96" customFormat="true" ht="13.5"/>
    <row r="16116" s="96" customFormat="true" ht="13.5"/>
    <row r="16117" s="96" customFormat="true" ht="13.5"/>
    <row r="16118" s="96" customFormat="true" ht="13.5"/>
    <row r="16119" s="96" customFormat="true" ht="13.5"/>
    <row r="16120" s="96" customFormat="true" ht="13.5"/>
    <row r="16121" s="96" customFormat="true" ht="13.5"/>
    <row r="16122" s="96" customFormat="true" ht="13.5"/>
    <row r="16123" s="96" customFormat="true" ht="13.5"/>
    <row r="16124" s="96" customFormat="true" ht="13.5"/>
    <row r="16125" s="96" customFormat="true" ht="13.5"/>
    <row r="16126" s="96" customFormat="true" ht="13.5"/>
    <row r="16127" s="96" customFormat="true" ht="13.5"/>
    <row r="16128" s="96" customFormat="true" ht="13.5"/>
    <row r="16129" s="96" customFormat="true" ht="13.5"/>
    <row r="16130" s="96" customFormat="true" ht="13.5"/>
    <row r="16131" s="96" customFormat="true" ht="13.5"/>
    <row r="16132" s="96" customFormat="true" ht="13.5"/>
    <row r="16133" s="96" customFormat="true" ht="13.5"/>
    <row r="16134" s="96" customFormat="true" ht="13.5"/>
    <row r="16135" s="96" customFormat="true" ht="13.5"/>
    <row r="16136" s="96" customFormat="true" ht="13.5"/>
    <row r="16137" s="96" customFormat="true" ht="13.5"/>
    <row r="16138" s="96" customFormat="true" ht="13.5"/>
    <row r="16139" s="96" customFormat="true" ht="13.5"/>
    <row r="16140" s="96" customFormat="true" ht="13.5"/>
    <row r="16141" s="96" customFormat="true" ht="13.5"/>
    <row r="16142" s="96" customFormat="true" ht="13.5"/>
    <row r="16143" s="96" customFormat="true" ht="13.5"/>
    <row r="16144" s="96" customFormat="true" ht="13.5"/>
    <row r="16145" s="96" customFormat="true" ht="13.5"/>
    <row r="16146" s="96" customFormat="true" ht="13.5"/>
    <row r="16147" s="96" customFormat="true" ht="13.5"/>
    <row r="16148" s="96" customFormat="true" ht="13.5"/>
    <row r="16149" s="96" customFormat="true" ht="13.5"/>
    <row r="16150" s="96" customFormat="true" ht="13.5"/>
    <row r="16151" s="96" customFormat="true" ht="13.5"/>
    <row r="16152" s="96" customFormat="true" ht="13.5"/>
    <row r="16153" s="96" customFormat="true" ht="13.5"/>
    <row r="16154" s="96" customFormat="true" ht="13.5"/>
    <row r="16155" s="96" customFormat="true" ht="13.5"/>
    <row r="16156" s="96" customFormat="true" ht="13.5"/>
    <row r="16157" s="96" customFormat="true" ht="13.5"/>
    <row r="16158" s="96" customFormat="true" ht="13.5"/>
    <row r="16159" s="96" customFormat="true" ht="13.5"/>
    <row r="16160" s="96" customFormat="true" ht="13.5"/>
    <row r="16161" s="96" customFormat="true" ht="13.5"/>
    <row r="16162" s="96" customFormat="true" ht="13.5"/>
    <row r="16163" s="96" customFormat="true" ht="13.5"/>
    <row r="16164" s="96" customFormat="true" ht="13.5"/>
    <row r="16165" s="96" customFormat="true" ht="13.5"/>
    <row r="16166" s="96" customFormat="true" ht="13.5"/>
    <row r="16167" s="96" customFormat="true" ht="13.5"/>
    <row r="16168" s="96" customFormat="true" ht="13.5"/>
    <row r="16169" s="96" customFormat="true" ht="13.5"/>
    <row r="16170" s="96" customFormat="true" ht="13.5"/>
    <row r="16171" s="96" customFormat="true" ht="13.5"/>
    <row r="16172" s="96" customFormat="true" ht="13.5"/>
    <row r="16173" s="96" customFormat="true" ht="13.5"/>
    <row r="16174" s="96" customFormat="true" ht="13.5"/>
    <row r="16175" s="96" customFormat="true" ht="13.5"/>
    <row r="16176" s="96" customFormat="true" ht="13.5"/>
    <row r="16177" s="96" customFormat="true" ht="13.5"/>
    <row r="16178" s="96" customFormat="true" ht="13.5"/>
    <row r="16179" s="96" customFormat="true" ht="13.5"/>
    <row r="16180" s="96" customFormat="true" ht="13.5"/>
    <row r="16181" s="96" customFormat="true" ht="13.5"/>
    <row r="16182" s="96" customFormat="true" ht="13.5"/>
    <row r="16183" s="96" customFormat="true" ht="13.5"/>
    <row r="16184" s="96" customFormat="true" ht="13.5"/>
    <row r="16185" s="96" customFormat="true" ht="13.5"/>
    <row r="16186" s="96" customFormat="true" ht="13.5"/>
    <row r="16187" s="96" customFormat="true" ht="13.5"/>
    <row r="16188" s="96" customFormat="true" ht="13.5"/>
    <row r="16189" s="96" customFormat="true" ht="13.5"/>
    <row r="16190" s="96" customFormat="true" ht="13.5"/>
    <row r="16191" s="96" customFormat="true" ht="13.5"/>
    <row r="16192" s="96" customFormat="true" ht="13.5"/>
    <row r="16193" s="96" customFormat="true" ht="13.5"/>
    <row r="16194" s="96" customFormat="true" ht="13.5"/>
    <row r="16195" s="96" customFormat="true" ht="13.5"/>
    <row r="16196" s="96" customFormat="true" ht="13.5"/>
    <row r="16197" s="96" customFormat="true" ht="13.5"/>
    <row r="16198" s="96" customFormat="true" ht="13.5"/>
    <row r="16199" s="96" customFormat="true" ht="13.5"/>
    <row r="16200" s="96" customFormat="true" ht="13.5"/>
    <row r="16201" s="96" customFormat="true" ht="13.5"/>
    <row r="16202" s="96" customFormat="true" ht="13.5"/>
    <row r="16203" s="96" customFormat="true" ht="13.5"/>
    <row r="16204" s="96" customFormat="true" ht="13.5"/>
    <row r="16205" s="96" customFormat="true" ht="13.5"/>
    <row r="16206" s="96" customFormat="true" ht="13.5"/>
    <row r="16207" s="96" customFormat="true" ht="13.5"/>
    <row r="16208" s="96" customFormat="true" ht="13.5"/>
    <row r="16209" s="96" customFormat="true" ht="13.5"/>
    <row r="16210" s="96" customFormat="true" ht="13.5"/>
    <row r="16211" s="96" customFormat="true" ht="13.5"/>
    <row r="16212" s="96" customFormat="true" ht="13.5"/>
    <row r="16213" s="96" customFormat="true" ht="13.5"/>
    <row r="16214" s="96" customFormat="true" ht="13.5"/>
    <row r="16215" s="96" customFormat="true" ht="13.5"/>
    <row r="16216" s="96" customFormat="true" ht="13.5"/>
    <row r="16217" s="96" customFormat="true" ht="13.5"/>
    <row r="16218" s="96" customFormat="true" ht="13.5"/>
    <row r="16219" s="96" customFormat="true" ht="13.5"/>
    <row r="16220" s="96" customFormat="true" ht="13.5"/>
    <row r="16221" s="96" customFormat="true" ht="13.5"/>
    <row r="16222" s="96" customFormat="true" ht="13.5"/>
    <row r="16223" s="96" customFormat="true" ht="13.5"/>
    <row r="16224" s="96" customFormat="true" ht="13.5"/>
    <row r="16225" s="96" customFormat="true" ht="13.5"/>
    <row r="16226" s="96" customFormat="true" ht="13.5"/>
    <row r="16227" s="96" customFormat="true" ht="13.5"/>
    <row r="16228" s="96" customFormat="true" ht="13.5"/>
    <row r="16229" s="96" customFormat="true" ht="13.5"/>
    <row r="16230" s="96" customFormat="true" ht="13.5"/>
    <row r="16231" s="96" customFormat="true" ht="13.5"/>
    <row r="16232" s="96" customFormat="true" ht="13.5"/>
    <row r="16233" s="96" customFormat="true" ht="13.5"/>
    <row r="16234" s="96" customFormat="true" ht="13.5"/>
    <row r="16235" s="96" customFormat="true" ht="13.5"/>
    <row r="16236" s="96" customFormat="true" ht="13.5"/>
    <row r="16237" s="96" customFormat="true" ht="13.5"/>
    <row r="16238" s="96" customFormat="true" ht="13.5"/>
    <row r="16239" s="96" customFormat="true" ht="13.5"/>
    <row r="16240" s="96" customFormat="true" ht="13.5"/>
    <row r="16241" s="96" customFormat="true" ht="13.5"/>
    <row r="16242" s="96" customFormat="true" ht="13.5"/>
    <row r="16243" s="96" customFormat="true" ht="13.5"/>
    <row r="16244" s="96" customFormat="true" ht="13.5"/>
    <row r="16245" s="96" customFormat="true" ht="13.5"/>
    <row r="16246" s="96" customFormat="true" ht="13.5"/>
    <row r="16247" s="96" customFormat="true" ht="13.5"/>
    <row r="16248" s="96" customFormat="true" ht="13.5"/>
    <row r="16249" s="96" customFormat="true" ht="13.5"/>
    <row r="16250" s="96" customFormat="true" ht="13.5"/>
    <row r="16251" s="96" customFormat="true" ht="13.5"/>
    <row r="16252" s="96" customFormat="true" ht="13.5"/>
    <row r="16253" s="96" customFormat="true" ht="13.5"/>
    <row r="16254" s="96" customFormat="true" ht="13.5"/>
    <row r="16255" s="96" customFormat="true" ht="13.5"/>
    <row r="16256" s="96" customFormat="true" ht="13.5"/>
    <row r="16257" s="96" customFormat="true" ht="13.5"/>
    <row r="16258" s="96" customFormat="true" ht="13.5"/>
    <row r="16259" s="96" customFormat="true" ht="13.5"/>
    <row r="16260" s="96" customFormat="true" ht="13.5"/>
    <row r="16261" s="96" customFormat="true" ht="13.5"/>
    <row r="16262" s="96" customFormat="true" ht="13.5"/>
    <row r="16263" s="96" customFormat="true" ht="13.5"/>
    <row r="16264" s="96" customFormat="true" ht="13.5"/>
    <row r="16265" s="96" customFormat="true" ht="13.5"/>
    <row r="16266" s="96" customFormat="true" ht="13.5"/>
    <row r="16267" s="96" customFormat="true" ht="13.5"/>
    <row r="16268" s="96" customFormat="true" ht="13.5"/>
    <row r="16269" s="96" customFormat="true" ht="13.5"/>
    <row r="16270" s="96" customFormat="true" ht="13.5"/>
    <row r="16271" s="96" customFormat="true" ht="13.5"/>
    <row r="16272" s="96" customFormat="true" ht="13.5"/>
    <row r="16273" s="96" customFormat="true" ht="13.5"/>
    <row r="16274" s="96" customFormat="true" ht="13.5"/>
    <row r="16275" s="96" customFormat="true" ht="13.5"/>
    <row r="16276" s="96" customFormat="true" ht="13.5"/>
    <row r="16277" s="96" customFormat="true" ht="13.5"/>
    <row r="16278" s="96" customFormat="true" ht="13.5"/>
    <row r="16279" s="96" customFormat="true" ht="13.5"/>
    <row r="16280" s="96" customFormat="true" ht="13.5"/>
    <row r="16281" s="96" customFormat="true" ht="13.5"/>
    <row r="16282" s="96" customFormat="true" ht="13.5"/>
    <row r="16283" s="96" customFormat="true" ht="13.5"/>
    <row r="16284" s="96" customFormat="true" ht="13.5"/>
    <row r="16285" s="96" customFormat="true" ht="13.5"/>
    <row r="16286" s="96" customFormat="true" ht="13.5"/>
    <row r="16287" s="96" customFormat="true" ht="13.5"/>
    <row r="16288" s="96" customFormat="true" ht="13.5"/>
    <row r="16289" s="96" customFormat="true" ht="13.5"/>
    <row r="16290" s="96" customFormat="true" ht="13.5"/>
    <row r="16291" s="96" customFormat="true" ht="13.5"/>
    <row r="16292" s="96" customFormat="true" ht="13.5"/>
    <row r="16293" s="96" customFormat="true" ht="13.5"/>
    <row r="16294" s="96" customFormat="true" ht="13.5"/>
    <row r="16295" s="96" customFormat="true" ht="13.5"/>
    <row r="16296" s="96" customFormat="true" ht="13.5"/>
    <row r="16297" s="96" customFormat="true" ht="13.5"/>
    <row r="16298" s="96" customFormat="true" ht="13.5"/>
    <row r="16299" s="96" customFormat="true" ht="13.5"/>
    <row r="16300" s="96" customFormat="true" ht="13.5"/>
    <row r="16301" s="96" customFormat="true" ht="13.5"/>
    <row r="16302" s="96" customFormat="true" ht="13.5"/>
    <row r="16303" s="96" customFormat="true" ht="13.5"/>
    <row r="16304" s="96" customFormat="true" ht="13.5"/>
    <row r="16305" s="96" customFormat="true" ht="13.5"/>
    <row r="16306" s="96" customFormat="true" ht="13.5"/>
    <row r="16307" s="96" customFormat="true" ht="13.5"/>
    <row r="16308" s="96" customFormat="true" ht="13.5"/>
    <row r="16309" s="96" customFormat="true" ht="13.5"/>
    <row r="16310" s="96" customFormat="true" ht="13.5"/>
    <row r="16311" s="96" customFormat="true" ht="13.5"/>
    <row r="16312" s="96" customFormat="true" ht="13.5"/>
    <row r="16313" s="96" customFormat="true" ht="13.5"/>
    <row r="16314" s="96" customFormat="true" ht="13.5"/>
    <row r="16315" s="96" customFormat="true" ht="13.5"/>
    <row r="16316" s="96" customFormat="true" ht="13.5"/>
    <row r="16317" s="96" customFormat="true" ht="13.5"/>
    <row r="16318" s="96" customFormat="true" ht="13.5"/>
    <row r="16319" s="96" customFormat="true" ht="13.5"/>
    <row r="16320" s="96" customFormat="true" ht="13.5"/>
    <row r="16321" s="96" customFormat="true" ht="13.5"/>
    <row r="16322" s="96" customFormat="true" ht="13.5"/>
    <row r="16323" s="96" customFormat="true" ht="13.5"/>
    <row r="16324" s="96" customFormat="true" ht="13.5"/>
    <row r="16325" s="96" customFormat="true" ht="13.5"/>
    <row r="16326" s="96" customFormat="true" ht="13.5"/>
    <row r="16327" s="96" customFormat="true" ht="13.5"/>
    <row r="16328" s="96" customFormat="true" ht="13.5"/>
    <row r="16329" s="96" customFormat="true" ht="13.5"/>
    <row r="16330" s="96" customFormat="true" ht="13.5"/>
    <row r="16331" s="96" customFormat="true" ht="13.5"/>
    <row r="16332" s="96" customFormat="true" ht="13.5"/>
    <row r="16333" s="96" customFormat="true" ht="13.5"/>
    <row r="16334" s="96" customFormat="true" ht="13.5"/>
    <row r="16335" s="96" customFormat="true" ht="13.5"/>
    <row r="16336" s="96" customFormat="true" ht="13.5"/>
    <row r="16337" s="96" customFormat="true" ht="13.5"/>
    <row r="16338" s="96" customFormat="true" ht="13.5"/>
    <row r="16339" s="96" customFormat="true" ht="13.5"/>
    <row r="16340" s="96" customFormat="true" ht="13.5"/>
    <row r="16341" s="96" customFormat="true" ht="13.5"/>
    <row r="16342" s="96" customFormat="true" ht="13.5"/>
    <row r="16343" s="96" customFormat="true" ht="13.5"/>
    <row r="16344" s="96" customFormat="true" ht="13.5"/>
    <row r="16345" s="96" customFormat="true" ht="13.5"/>
    <row r="16346" s="96" customFormat="true" ht="13.5"/>
    <row r="16347" s="96" customFormat="true" ht="13.5"/>
    <row r="16348" s="96" customFormat="true" ht="13.5"/>
    <row r="16349" s="96" customFormat="true" ht="13.5"/>
    <row r="16350" s="96" customFormat="true" ht="13.5"/>
    <row r="16351" s="96" customFormat="true" ht="13.5"/>
    <row r="16352" s="96" customFormat="true" ht="13.5"/>
    <row r="16353" s="96" customFormat="true" ht="13.5"/>
    <row r="16354" s="96" customFormat="true" ht="13.5"/>
    <row r="16355" s="96" customFormat="true" ht="13.5"/>
    <row r="16356" s="96" customFormat="true" ht="13.5"/>
    <row r="16357" s="96" customFormat="true" ht="13.5"/>
    <row r="16358" s="96" customFormat="true" ht="13.5"/>
    <row r="16359" s="96" customFormat="true" ht="13.5"/>
    <row r="16360" s="96" customFormat="true" ht="13.5"/>
    <row r="16361" s="96" customFormat="true" ht="13.5"/>
    <row r="16362" s="96" customFormat="true" ht="13.5"/>
    <row r="16363" s="96" customFormat="true" ht="13.5"/>
    <row r="16364" s="96" customFormat="true" ht="13.5"/>
    <row r="16365" s="96" customFormat="true" ht="13.5"/>
    <row r="16366" s="96" customFormat="true" ht="13.5"/>
    <row r="16367" s="96" customFormat="true" ht="13.5"/>
    <row r="16368" s="96" customFormat="true" ht="13.5"/>
    <row r="16369" s="96" customFormat="true" ht="13.5"/>
    <row r="16370" s="96" customFormat="true" ht="13.5"/>
    <row r="16371" s="96" customFormat="true" ht="13.5"/>
    <row r="16372" s="96" customFormat="true" ht="13.5"/>
    <row r="16373" s="96" customFormat="true" ht="13.5"/>
    <row r="16374" s="96" customFormat="true" ht="13.5"/>
    <row r="16375" s="96" customFormat="true" ht="13.5"/>
    <row r="16376" s="96" customFormat="true" ht="13.5"/>
    <row r="16377" s="96" customFormat="true" ht="13.5"/>
    <row r="16378" s="96" customFormat="true" ht="13.5"/>
    <row r="16379" s="96" customFormat="true" ht="13.5"/>
    <row r="16380" s="96" customFormat="true" ht="13.5"/>
    <row r="16381" s="96" customFormat="true" ht="13.5"/>
    <row r="16382" s="96" customFormat="true" ht="13.5"/>
    <row r="16383" s="96" customFormat="true" ht="13.5"/>
    <row r="16384" s="96" customFormat="true" ht="13.5"/>
  </sheetData>
  <mergeCells count="1">
    <mergeCell ref="A2:I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
  <sheetViews>
    <sheetView view="pageBreakPreview" zoomScale="130" zoomScaleNormal="100" zoomScaleSheetLayoutView="130" workbookViewId="0">
      <pane xSplit="3" ySplit="5" topLeftCell="D6" activePane="bottomRight" state="frozen"/>
      <selection/>
      <selection pane="topRight"/>
      <selection pane="bottomLeft"/>
      <selection pane="bottomRight" activeCell="B2" sqref="B2:I2"/>
    </sheetView>
  </sheetViews>
  <sheetFormatPr defaultColWidth="10" defaultRowHeight="13.5" outlineLevelRow="5"/>
  <cols>
    <col min="1" max="1" width="0.133333333333333" style="24" customWidth="true"/>
    <col min="2" max="2" width="5.875" style="24" customWidth="true"/>
    <col min="3" max="3" width="8.5" style="24" customWidth="true"/>
    <col min="4" max="7" width="10.125" style="24" customWidth="true"/>
    <col min="8" max="8" width="14.125" style="24" customWidth="true"/>
    <col min="9" max="9" width="19.5166666666667" style="24" customWidth="true"/>
    <col min="10" max="17" width="11" style="24" customWidth="true"/>
    <col min="18" max="18" width="9.76666666666667" style="24" customWidth="true"/>
    <col min="19" max="16384" width="10" style="24"/>
  </cols>
  <sheetData>
    <row r="1" ht="34" customHeight="true" spans="2:2">
      <c r="B1" s="25" t="s">
        <v>2016</v>
      </c>
    </row>
    <row r="2" s="24" customFormat="true" ht="43" customHeight="true" spans="1:17">
      <c r="A2" s="27"/>
      <c r="B2" s="87" t="s">
        <v>2017</v>
      </c>
      <c r="C2" s="87"/>
      <c r="D2" s="87"/>
      <c r="E2" s="87"/>
      <c r="F2" s="87"/>
      <c r="G2" s="87"/>
      <c r="H2" s="87"/>
      <c r="I2" s="87"/>
      <c r="J2" s="93"/>
      <c r="K2" s="93"/>
      <c r="L2" s="93"/>
      <c r="M2" s="93"/>
      <c r="N2" s="93"/>
      <c r="O2" s="93"/>
      <c r="P2" s="93"/>
      <c r="Q2" s="93"/>
    </row>
    <row r="3" s="24" customFormat="true" ht="42" customHeight="true" spans="2:17">
      <c r="B3" s="88"/>
      <c r="C3" s="88"/>
      <c r="D3" s="88"/>
      <c r="E3" s="88"/>
      <c r="F3" s="88"/>
      <c r="G3" s="88"/>
      <c r="H3" s="88"/>
      <c r="I3" s="88" t="s">
        <v>2018</v>
      </c>
      <c r="J3" s="94"/>
      <c r="K3" s="94"/>
      <c r="L3" s="94"/>
      <c r="Q3" s="95"/>
    </row>
    <row r="4" s="24" customFormat="true" ht="39" customHeight="true" spans="2:9">
      <c r="B4" s="89" t="s">
        <v>2019</v>
      </c>
      <c r="C4" s="89" t="s">
        <v>2020</v>
      </c>
      <c r="D4" s="89" t="s">
        <v>2021</v>
      </c>
      <c r="E4" s="89"/>
      <c r="F4" s="89"/>
      <c r="G4" s="89" t="s">
        <v>2022</v>
      </c>
      <c r="H4" s="89"/>
      <c r="I4" s="89"/>
    </row>
    <row r="5" s="24" customFormat="true" ht="63" customHeight="true" spans="2:9">
      <c r="B5" s="89"/>
      <c r="C5" s="89"/>
      <c r="D5" s="89" t="s">
        <v>1312</v>
      </c>
      <c r="E5" s="89" t="s">
        <v>2023</v>
      </c>
      <c r="F5" s="89" t="s">
        <v>2024</v>
      </c>
      <c r="G5" s="89" t="s">
        <v>1312</v>
      </c>
      <c r="H5" s="89" t="s">
        <v>2023</v>
      </c>
      <c r="I5" s="89" t="s">
        <v>2024</v>
      </c>
    </row>
    <row r="6" s="24" customFormat="true" ht="58" customHeight="true" spans="2:9">
      <c r="B6" s="90">
        <v>640400</v>
      </c>
      <c r="C6" s="91" t="s">
        <v>2025</v>
      </c>
      <c r="D6" s="91">
        <v>71.27</v>
      </c>
      <c r="E6" s="91">
        <v>53.36</v>
      </c>
      <c r="F6" s="91">
        <v>17.91</v>
      </c>
      <c r="G6" s="92">
        <v>84.1453</v>
      </c>
      <c r="H6" s="92">
        <v>65.7402</v>
      </c>
      <c r="I6" s="92">
        <v>18.4051</v>
      </c>
    </row>
  </sheetData>
  <mergeCells count="5">
    <mergeCell ref="B2:I2"/>
    <mergeCell ref="D4:F4"/>
    <mergeCell ref="G4:I4"/>
    <mergeCell ref="B4:B5"/>
    <mergeCell ref="C4:C5"/>
  </mergeCells>
  <pageMargins left="0" right="0.195999994874001" top="0.590277777777778" bottom="0.195999994874001" header="0" footer="0"/>
  <pageSetup paperSize="9" scale="87"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zoomScale="130" zoomScaleNormal="130" workbookViewId="0">
      <selection activeCell="A1" sqref="A1:Q8"/>
    </sheetView>
  </sheetViews>
  <sheetFormatPr defaultColWidth="7.875" defaultRowHeight="14.25" outlineLevelRow="7"/>
  <cols>
    <col min="1" max="1" width="9" style="35" customWidth="true"/>
    <col min="2" max="2" width="8.5" style="35" customWidth="true"/>
    <col min="3" max="16" width="9.5" style="35" customWidth="true"/>
    <col min="17" max="255" width="7.875" style="35" customWidth="true"/>
    <col min="256" max="16384" width="7.875" style="35"/>
  </cols>
  <sheetData>
    <row r="1" ht="32" customHeight="true" spans="1:15">
      <c r="A1" s="25" t="s">
        <v>2026</v>
      </c>
      <c r="O1" s="80"/>
    </row>
    <row r="2" ht="39" customHeight="true" spans="1:17">
      <c r="A2" s="36" t="s">
        <v>2027</v>
      </c>
      <c r="B2" s="36"/>
      <c r="C2" s="36"/>
      <c r="D2" s="36"/>
      <c r="E2" s="36"/>
      <c r="F2" s="36"/>
      <c r="G2" s="36"/>
      <c r="H2" s="36"/>
      <c r="I2" s="36"/>
      <c r="J2" s="36"/>
      <c r="K2" s="36"/>
      <c r="L2" s="36"/>
      <c r="M2" s="36"/>
      <c r="N2" s="36"/>
      <c r="O2" s="81"/>
      <c r="P2" s="36"/>
      <c r="Q2" s="36"/>
    </row>
    <row r="3" ht="42" customHeight="true" spans="1:17">
      <c r="A3" s="37"/>
      <c r="B3" s="37"/>
      <c r="C3" s="37"/>
      <c r="D3" s="37"/>
      <c r="E3" s="37"/>
      <c r="F3" s="37"/>
      <c r="G3" s="37"/>
      <c r="H3" s="37"/>
      <c r="I3" s="37"/>
      <c r="J3" s="37"/>
      <c r="K3" s="37"/>
      <c r="L3" s="37"/>
      <c r="M3" s="37"/>
      <c r="N3" s="37"/>
      <c r="O3" s="82"/>
      <c r="P3" s="57" t="s">
        <v>2018</v>
      </c>
      <c r="Q3" s="37"/>
    </row>
    <row r="4" ht="29" customHeight="true" spans="1:17">
      <c r="A4" s="38" t="s">
        <v>1476</v>
      </c>
      <c r="B4" s="39" t="s">
        <v>2028</v>
      </c>
      <c r="C4" s="40" t="s">
        <v>2029</v>
      </c>
      <c r="D4" s="41"/>
      <c r="E4" s="52"/>
      <c r="F4" s="53" t="s">
        <v>2030</v>
      </c>
      <c r="G4" s="53"/>
      <c r="H4" s="53"/>
      <c r="I4" s="53"/>
      <c r="J4" s="53"/>
      <c r="K4" s="53"/>
      <c r="L4" s="53"/>
      <c r="M4" s="53"/>
      <c r="N4" s="53"/>
      <c r="O4" s="83" t="s">
        <v>2031</v>
      </c>
      <c r="P4" s="41"/>
      <c r="Q4" s="52"/>
    </row>
    <row r="5" ht="27" customHeight="true" spans="1:17">
      <c r="A5" s="42"/>
      <c r="B5" s="43"/>
      <c r="C5" s="44"/>
      <c r="D5" s="45"/>
      <c r="E5" s="54"/>
      <c r="F5" s="53" t="s">
        <v>2032</v>
      </c>
      <c r="G5" s="53"/>
      <c r="H5" s="53"/>
      <c r="I5" s="53"/>
      <c r="J5" s="53"/>
      <c r="K5" s="53"/>
      <c r="L5" s="56" t="s">
        <v>2033</v>
      </c>
      <c r="M5" s="58"/>
      <c r="N5" s="59"/>
      <c r="O5" s="84"/>
      <c r="P5" s="45"/>
      <c r="Q5" s="54"/>
    </row>
    <row r="6" ht="24" customHeight="true" spans="1:17">
      <c r="A6" s="42"/>
      <c r="B6" s="43"/>
      <c r="C6" s="46" t="s">
        <v>1503</v>
      </c>
      <c r="D6" s="46" t="s">
        <v>2034</v>
      </c>
      <c r="E6" s="46" t="s">
        <v>2035</v>
      </c>
      <c r="F6" s="53" t="s">
        <v>1312</v>
      </c>
      <c r="G6" s="53" t="s">
        <v>2036</v>
      </c>
      <c r="H6" s="53"/>
      <c r="I6" s="53"/>
      <c r="J6" s="53"/>
      <c r="K6" s="46" t="s">
        <v>2037</v>
      </c>
      <c r="L6" s="39" t="s">
        <v>1503</v>
      </c>
      <c r="M6" s="39" t="s">
        <v>2038</v>
      </c>
      <c r="N6" s="39" t="s">
        <v>2039</v>
      </c>
      <c r="O6" s="85" t="s">
        <v>1503</v>
      </c>
      <c r="P6" s="46" t="s">
        <v>2034</v>
      </c>
      <c r="Q6" s="46" t="s">
        <v>2035</v>
      </c>
    </row>
    <row r="7" ht="47" customHeight="true" spans="1:17">
      <c r="A7" s="47"/>
      <c r="B7" s="48"/>
      <c r="C7" s="46"/>
      <c r="D7" s="46"/>
      <c r="E7" s="46"/>
      <c r="F7" s="53"/>
      <c r="G7" s="53" t="s">
        <v>1503</v>
      </c>
      <c r="H7" s="46" t="s">
        <v>2040</v>
      </c>
      <c r="I7" s="46" t="s">
        <v>2041</v>
      </c>
      <c r="J7" s="53" t="s">
        <v>2042</v>
      </c>
      <c r="K7" s="49"/>
      <c r="L7" s="48"/>
      <c r="M7" s="60"/>
      <c r="N7" s="60"/>
      <c r="O7" s="85"/>
      <c r="P7" s="46"/>
      <c r="Q7" s="46"/>
    </row>
    <row r="8" ht="54" customHeight="true" spans="1:17">
      <c r="A8" s="49" t="s">
        <v>2025</v>
      </c>
      <c r="B8" s="51">
        <v>84.15</v>
      </c>
      <c r="C8" s="51">
        <v>62.48</v>
      </c>
      <c r="D8" s="79">
        <v>50.3469</v>
      </c>
      <c r="E8" s="55">
        <v>12.1257</v>
      </c>
      <c r="F8" s="55">
        <f>G8+K8</f>
        <v>9.8903</v>
      </c>
      <c r="G8" s="55">
        <f>H8+I8+J8</f>
        <v>0.8303</v>
      </c>
      <c r="H8" s="55">
        <v>0.045</v>
      </c>
      <c r="I8" s="55">
        <v>0.7657</v>
      </c>
      <c r="J8" s="55">
        <f>0.0139+0.003+0.0027</f>
        <v>0.0196</v>
      </c>
      <c r="K8" s="51">
        <v>9.06</v>
      </c>
      <c r="L8" s="51">
        <f>M8+N8</f>
        <v>19.56</v>
      </c>
      <c r="M8" s="51">
        <v>14.46</v>
      </c>
      <c r="N8" s="55">
        <v>5.1</v>
      </c>
      <c r="O8" s="86">
        <f>P8+Q8</f>
        <v>81.2023</v>
      </c>
      <c r="P8" s="55">
        <f>D8-H8-J8+M8</f>
        <v>64.7423</v>
      </c>
      <c r="Q8" s="55">
        <f>E8-I8+N8</f>
        <v>16.46</v>
      </c>
    </row>
  </sheetData>
  <sheetProtection selectLockedCells="1" selectUnlockedCells="1"/>
  <mergeCells count="21">
    <mergeCell ref="A2:Q2"/>
    <mergeCell ref="P3:Q3"/>
    <mergeCell ref="F4:N4"/>
    <mergeCell ref="F5:K5"/>
    <mergeCell ref="L5:N5"/>
    <mergeCell ref="G6:J6"/>
    <mergeCell ref="A4:A7"/>
    <mergeCell ref="B4:B7"/>
    <mergeCell ref="C6:C7"/>
    <mergeCell ref="D6:D7"/>
    <mergeCell ref="E6:E7"/>
    <mergeCell ref="F6:F7"/>
    <mergeCell ref="K6:K7"/>
    <mergeCell ref="L6:L7"/>
    <mergeCell ref="M6:M7"/>
    <mergeCell ref="N6:N7"/>
    <mergeCell ref="O6:O7"/>
    <mergeCell ref="P6:P7"/>
    <mergeCell ref="Q6:Q7"/>
    <mergeCell ref="C4:E5"/>
    <mergeCell ref="O4:Q5"/>
  </mergeCells>
  <pageMargins left="0.75" right="0.75" top="1" bottom="1" header="0.511805555555556" footer="0.511805555555556"/>
  <pageSetup paperSize="9" scale="86" orientation="landscape" horizontalDpi="300" verticalDpi="300"/>
  <headerFooter alignWithMargins="0" scaleWithDoc="0"/>
  <colBreaks count="1" manualBreakCount="1">
    <brk id="15" max="6553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zoomScale="130" zoomScaleNormal="130" workbookViewId="0">
      <selection activeCell="A1" sqref="A1:K7"/>
    </sheetView>
  </sheetViews>
  <sheetFormatPr defaultColWidth="7.875" defaultRowHeight="14.25" outlineLevelRow="6"/>
  <cols>
    <col min="1" max="1" width="11.375" style="35" customWidth="true"/>
    <col min="2" max="11" width="10.625" style="35" customWidth="true"/>
    <col min="12" max="16384" width="7.875" style="35" customWidth="true"/>
  </cols>
  <sheetData>
    <row r="1" ht="33" customHeight="true" spans="1:1">
      <c r="A1" s="25" t="s">
        <v>2043</v>
      </c>
    </row>
    <row r="2" ht="48" customHeight="true" spans="1:11">
      <c r="A2" s="36" t="s">
        <v>2044</v>
      </c>
      <c r="B2" s="36"/>
      <c r="C2" s="36"/>
      <c r="D2" s="36"/>
      <c r="E2" s="36"/>
      <c r="F2" s="36"/>
      <c r="G2" s="36"/>
      <c r="H2" s="36"/>
      <c r="I2" s="36"/>
      <c r="J2" s="36"/>
      <c r="K2" s="36"/>
    </row>
    <row r="3" ht="28" customHeight="true" spans="1:11">
      <c r="A3" s="37"/>
      <c r="B3" s="37"/>
      <c r="C3" s="37"/>
      <c r="D3" s="37"/>
      <c r="E3" s="37"/>
      <c r="F3" s="37"/>
      <c r="G3" s="37"/>
      <c r="H3" s="37"/>
      <c r="I3" s="37"/>
      <c r="J3" s="75" t="s">
        <v>2018</v>
      </c>
      <c r="K3" s="76"/>
    </row>
    <row r="4" ht="24" customHeight="true" spans="1:11">
      <c r="A4" s="38" t="s">
        <v>1476</v>
      </c>
      <c r="B4" s="39" t="s">
        <v>2045</v>
      </c>
      <c r="C4" s="46" t="s">
        <v>2046</v>
      </c>
      <c r="D4" s="46"/>
      <c r="E4" s="46"/>
      <c r="F4" s="46"/>
      <c r="G4" s="46"/>
      <c r="H4" s="74" t="s">
        <v>2047</v>
      </c>
      <c r="I4" s="77"/>
      <c r="J4" s="77"/>
      <c r="K4" s="78"/>
    </row>
    <row r="5" ht="24" customHeight="true" spans="1:11">
      <c r="A5" s="42"/>
      <c r="B5" s="43"/>
      <c r="C5" s="46" t="s">
        <v>2048</v>
      </c>
      <c r="D5" s="46"/>
      <c r="E5" s="46"/>
      <c r="F5" s="46"/>
      <c r="G5" s="53" t="s">
        <v>2042</v>
      </c>
      <c r="H5" s="39" t="s">
        <v>2049</v>
      </c>
      <c r="I5" s="39" t="s">
        <v>2050</v>
      </c>
      <c r="J5" s="39" t="s">
        <v>2051</v>
      </c>
      <c r="K5" s="39" t="s">
        <v>2052</v>
      </c>
    </row>
    <row r="6" ht="36" customHeight="true" spans="1:11">
      <c r="A6" s="47"/>
      <c r="B6" s="48"/>
      <c r="C6" s="46" t="s">
        <v>1503</v>
      </c>
      <c r="D6" s="46" t="s">
        <v>2053</v>
      </c>
      <c r="E6" s="46" t="s">
        <v>2054</v>
      </c>
      <c r="F6" s="46" t="s">
        <v>2055</v>
      </c>
      <c r="G6" s="53"/>
      <c r="H6" s="48"/>
      <c r="I6" s="48"/>
      <c r="J6" s="48"/>
      <c r="K6" s="48"/>
    </row>
    <row r="7" ht="58" customHeight="true" spans="1:11">
      <c r="A7" s="49" t="s">
        <v>2025</v>
      </c>
      <c r="B7" s="55">
        <f>C7+G7</f>
        <v>81.202292</v>
      </c>
      <c r="C7" s="55">
        <f>SUM(D7:F7)</f>
        <v>81.1848</v>
      </c>
      <c r="D7" s="55">
        <v>24.8852</v>
      </c>
      <c r="E7" s="55">
        <v>11.2938</v>
      </c>
      <c r="F7" s="55">
        <v>45.0058</v>
      </c>
      <c r="G7" s="50">
        <v>0.017492</v>
      </c>
      <c r="H7" s="50">
        <f>10.2517+0.01</f>
        <v>10.2617</v>
      </c>
      <c r="I7" s="50">
        <f>10.5107+0.01</f>
        <v>10.5207</v>
      </c>
      <c r="J7" s="50">
        <v>6.5641</v>
      </c>
      <c r="K7" s="51">
        <v>53.86</v>
      </c>
    </row>
  </sheetData>
  <sheetProtection selectLockedCells="1" selectUnlockedCells="1"/>
  <mergeCells count="12">
    <mergeCell ref="A2:K2"/>
    <mergeCell ref="J3:K3"/>
    <mergeCell ref="C4:G4"/>
    <mergeCell ref="H4:K4"/>
    <mergeCell ref="C5:F5"/>
    <mergeCell ref="A4:A6"/>
    <mergeCell ref="B4:B6"/>
    <mergeCell ref="G5:G6"/>
    <mergeCell ref="H5:H6"/>
    <mergeCell ref="I5:I6"/>
    <mergeCell ref="J5:J6"/>
    <mergeCell ref="K5:K6"/>
  </mergeCells>
  <pageMargins left="0.75" right="0.75" top="1" bottom="1" header="0.511805555555556" footer="0.511805555555556"/>
  <pageSetup paperSize="9"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zoomScale="130" zoomScaleNormal="130" workbookViewId="0">
      <selection activeCell="A1" sqref="A1:I9"/>
    </sheetView>
  </sheetViews>
  <sheetFormatPr defaultColWidth="10" defaultRowHeight="13.5"/>
  <cols>
    <col min="1" max="1" width="9.25" style="24" customWidth="true"/>
    <col min="2" max="2" width="17.9083333333333" style="24" customWidth="true"/>
    <col min="3" max="9" width="14.875" style="24" customWidth="true"/>
    <col min="10" max="16384" width="10" style="24"/>
  </cols>
  <sheetData>
    <row r="1" s="24" customFormat="true" ht="24" customHeight="true" spans="1:1">
      <c r="A1" s="25" t="s">
        <v>2056</v>
      </c>
    </row>
    <row r="2" s="24" customFormat="true" ht="36" customHeight="true" spans="1:9">
      <c r="A2" s="61" t="s">
        <v>2057</v>
      </c>
      <c r="B2" s="61"/>
      <c r="C2" s="61"/>
      <c r="D2" s="61"/>
      <c r="E2" s="61"/>
      <c r="F2" s="61"/>
      <c r="G2" s="61"/>
      <c r="H2" s="61"/>
      <c r="I2" s="61"/>
    </row>
    <row r="3" s="24" customFormat="true" ht="14.3" customHeight="true" spans="9:9">
      <c r="I3" s="24" t="s">
        <v>2018</v>
      </c>
    </row>
    <row r="4" s="24" customFormat="true" ht="53" customHeight="true" spans="1:9">
      <c r="A4" s="62" t="s">
        <v>1476</v>
      </c>
      <c r="B4" s="62" t="s">
        <v>2058</v>
      </c>
      <c r="C4" s="62" t="s">
        <v>2059</v>
      </c>
      <c r="D4" s="62"/>
      <c r="E4" s="62"/>
      <c r="F4" s="68" t="s">
        <v>2060</v>
      </c>
      <c r="G4" s="69"/>
      <c r="H4" s="70"/>
      <c r="I4" s="73" t="s">
        <v>2061</v>
      </c>
    </row>
    <row r="5" s="24" customFormat="true" ht="48" customHeight="true" spans="1:9">
      <c r="A5" s="62"/>
      <c r="B5" s="62"/>
      <c r="C5" s="62" t="s">
        <v>1503</v>
      </c>
      <c r="D5" s="62" t="s">
        <v>2062</v>
      </c>
      <c r="E5" s="62" t="s">
        <v>2063</v>
      </c>
      <c r="F5" s="62" t="s">
        <v>1503</v>
      </c>
      <c r="G5" s="71" t="s">
        <v>2064</v>
      </c>
      <c r="H5" s="71" t="s">
        <v>2065</v>
      </c>
      <c r="I5" s="73" t="s">
        <v>2064</v>
      </c>
    </row>
    <row r="6" s="24" customFormat="true" ht="48" customHeight="true" spans="1:9">
      <c r="A6" s="62" t="s">
        <v>6</v>
      </c>
      <c r="B6" s="63" t="s">
        <v>1312</v>
      </c>
      <c r="C6" s="64">
        <v>12.7778202064</v>
      </c>
      <c r="D6" s="64">
        <v>10.2717</v>
      </c>
      <c r="E6" s="64">
        <v>2.5061202064</v>
      </c>
      <c r="F6" s="64">
        <v>10.2717</v>
      </c>
      <c r="G6" s="64">
        <v>0.8717</v>
      </c>
      <c r="H6" s="64">
        <v>9.4</v>
      </c>
      <c r="I6" s="64">
        <v>3.3778202064</v>
      </c>
    </row>
    <row r="7" s="24" customFormat="true" ht="42" customHeight="true" spans="1:9">
      <c r="A7" s="62"/>
      <c r="B7" s="63" t="s">
        <v>2066</v>
      </c>
      <c r="C7" s="64">
        <v>5.1201925714</v>
      </c>
      <c r="D7" s="65">
        <v>3.0222</v>
      </c>
      <c r="E7" s="65">
        <v>2.0979925714</v>
      </c>
      <c r="F7" s="65">
        <v>3.0222</v>
      </c>
      <c r="G7" s="72">
        <v>0.1222</v>
      </c>
      <c r="H7" s="72">
        <v>2.9</v>
      </c>
      <c r="I7" s="65">
        <v>2.2201925714</v>
      </c>
    </row>
    <row r="8" s="24" customFormat="true" ht="45" customHeight="true" spans="1:9">
      <c r="A8" s="62"/>
      <c r="B8" s="63" t="s">
        <v>2067</v>
      </c>
      <c r="C8" s="64">
        <v>7.635527635</v>
      </c>
      <c r="D8" s="65">
        <v>7.2295</v>
      </c>
      <c r="E8" s="65">
        <v>0.406027635</v>
      </c>
      <c r="F8" s="65">
        <v>7.2295</v>
      </c>
      <c r="G8" s="72">
        <v>0.7295</v>
      </c>
      <c r="H8" s="72">
        <v>6.5</v>
      </c>
      <c r="I8" s="65">
        <v>1.135527635</v>
      </c>
    </row>
    <row r="9" s="24" customFormat="true" ht="45" customHeight="true" spans="1:9">
      <c r="A9" s="62"/>
      <c r="B9" s="66" t="s">
        <v>2042</v>
      </c>
      <c r="C9" s="67">
        <v>0.0221</v>
      </c>
      <c r="D9" s="67">
        <v>0.02</v>
      </c>
      <c r="E9" s="67">
        <v>0.0021</v>
      </c>
      <c r="F9" s="65">
        <v>0.02</v>
      </c>
      <c r="G9" s="67">
        <v>0.02</v>
      </c>
      <c r="H9" s="67">
        <v>0</v>
      </c>
      <c r="I9" s="67">
        <v>0.0221</v>
      </c>
    </row>
  </sheetData>
  <mergeCells count="6">
    <mergeCell ref="A2:I2"/>
    <mergeCell ref="C4:E4"/>
    <mergeCell ref="F4:H4"/>
    <mergeCell ref="A4:A5"/>
    <mergeCell ref="A6:A9"/>
    <mergeCell ref="B4:B5"/>
  </mergeCells>
  <pageMargins left="0.75" right="0.75" top="1" bottom="1" header="0.5" footer="0.5"/>
  <pageSetup paperSize="1" scale="70"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zoomScale="130" zoomScaleNormal="130" workbookViewId="0">
      <pane xSplit="1" ySplit="5" topLeftCell="B6" activePane="bottomRight" state="frozen"/>
      <selection/>
      <selection pane="topRight"/>
      <selection pane="bottomLeft"/>
      <selection pane="bottomRight" activeCell="J14" sqref="J14"/>
    </sheetView>
  </sheetViews>
  <sheetFormatPr defaultColWidth="10" defaultRowHeight="13.5" outlineLevelRow="7"/>
  <cols>
    <col min="1" max="1" width="9.25" style="24" customWidth="true"/>
    <col min="2" max="2" width="9.75" style="24" customWidth="true"/>
    <col min="3" max="5" width="9.5" style="24" customWidth="true"/>
    <col min="6" max="11" width="9.375" style="24" customWidth="true"/>
    <col min="12" max="16384" width="10" style="24"/>
  </cols>
  <sheetData>
    <row r="1" s="24" customFormat="true" ht="20.25" spans="1:17">
      <c r="A1" s="25" t="s">
        <v>2068</v>
      </c>
      <c r="B1" s="35"/>
      <c r="C1" s="35"/>
      <c r="D1" s="35"/>
      <c r="E1" s="35"/>
      <c r="F1" s="35"/>
      <c r="G1" s="35"/>
      <c r="H1" s="35"/>
      <c r="I1" s="35"/>
      <c r="J1" s="35"/>
      <c r="K1" s="35"/>
      <c r="L1" s="35"/>
      <c r="M1" s="35"/>
      <c r="N1" s="35"/>
      <c r="O1" s="35"/>
      <c r="P1" s="35"/>
      <c r="Q1" s="35"/>
    </row>
    <row r="2" s="24" customFormat="true" ht="24" spans="1:17">
      <c r="A2" s="36" t="s">
        <v>2069</v>
      </c>
      <c r="B2" s="36"/>
      <c r="C2" s="36"/>
      <c r="D2" s="36"/>
      <c r="E2" s="36"/>
      <c r="F2" s="36"/>
      <c r="G2" s="36"/>
      <c r="H2" s="36"/>
      <c r="I2" s="36"/>
      <c r="J2" s="36"/>
      <c r="K2" s="36"/>
      <c r="L2" s="36"/>
      <c r="M2" s="36"/>
      <c r="N2" s="36"/>
      <c r="O2" s="36"/>
      <c r="P2" s="36"/>
      <c r="Q2" s="36"/>
    </row>
    <row r="3" s="24" customFormat="true" ht="21" customHeight="true" spans="1:17">
      <c r="A3" s="37"/>
      <c r="B3" s="37"/>
      <c r="C3" s="37"/>
      <c r="D3" s="37"/>
      <c r="E3" s="37"/>
      <c r="F3" s="37"/>
      <c r="G3" s="37"/>
      <c r="H3" s="37"/>
      <c r="I3" s="37"/>
      <c r="J3" s="37"/>
      <c r="K3" s="37"/>
      <c r="L3" s="37"/>
      <c r="M3" s="37"/>
      <c r="N3" s="37"/>
      <c r="O3" s="37"/>
      <c r="P3" s="57" t="s">
        <v>2018</v>
      </c>
      <c r="Q3" s="37"/>
    </row>
    <row r="4" s="24" customFormat="true" ht="30" customHeight="true" spans="1:17">
      <c r="A4" s="38" t="s">
        <v>1476</v>
      </c>
      <c r="B4" s="39" t="s">
        <v>2070</v>
      </c>
      <c r="C4" s="40" t="s">
        <v>2071</v>
      </c>
      <c r="D4" s="41"/>
      <c r="E4" s="52"/>
      <c r="F4" s="53" t="s">
        <v>2030</v>
      </c>
      <c r="G4" s="53"/>
      <c r="H4" s="53"/>
      <c r="I4" s="53"/>
      <c r="J4" s="53"/>
      <c r="K4" s="53"/>
      <c r="L4" s="53"/>
      <c r="M4" s="53"/>
      <c r="N4" s="53"/>
      <c r="O4" s="40" t="s">
        <v>2072</v>
      </c>
      <c r="P4" s="41"/>
      <c r="Q4" s="52"/>
    </row>
    <row r="5" s="24" customFormat="true" ht="27" customHeight="true" spans="1:17">
      <c r="A5" s="42"/>
      <c r="B5" s="43"/>
      <c r="C5" s="44"/>
      <c r="D5" s="45"/>
      <c r="E5" s="54"/>
      <c r="F5" s="53" t="s">
        <v>2073</v>
      </c>
      <c r="G5" s="53"/>
      <c r="H5" s="53"/>
      <c r="I5" s="53"/>
      <c r="J5" s="53"/>
      <c r="K5" s="53"/>
      <c r="L5" s="56" t="s">
        <v>2074</v>
      </c>
      <c r="M5" s="58"/>
      <c r="N5" s="59"/>
      <c r="O5" s="44"/>
      <c r="P5" s="45"/>
      <c r="Q5" s="54"/>
    </row>
    <row r="6" s="24" customFormat="true" ht="27" customHeight="true" spans="1:17">
      <c r="A6" s="42"/>
      <c r="B6" s="43"/>
      <c r="C6" s="46" t="s">
        <v>1503</v>
      </c>
      <c r="D6" s="46" t="s">
        <v>2034</v>
      </c>
      <c r="E6" s="46" t="s">
        <v>2035</v>
      </c>
      <c r="F6" s="53" t="s">
        <v>1312</v>
      </c>
      <c r="G6" s="53" t="s">
        <v>2036</v>
      </c>
      <c r="H6" s="53"/>
      <c r="I6" s="53"/>
      <c r="J6" s="53"/>
      <c r="K6" s="46" t="s">
        <v>2037</v>
      </c>
      <c r="L6" s="39" t="s">
        <v>1503</v>
      </c>
      <c r="M6" s="39" t="s">
        <v>2075</v>
      </c>
      <c r="N6" s="39" t="s">
        <v>2076</v>
      </c>
      <c r="O6" s="46" t="s">
        <v>1503</v>
      </c>
      <c r="P6" s="46" t="s">
        <v>2034</v>
      </c>
      <c r="Q6" s="46" t="s">
        <v>2035</v>
      </c>
    </row>
    <row r="7" s="24" customFormat="true" ht="53" customHeight="true" spans="1:17">
      <c r="A7" s="47"/>
      <c r="B7" s="48"/>
      <c r="C7" s="46"/>
      <c r="D7" s="46"/>
      <c r="E7" s="46"/>
      <c r="F7" s="53"/>
      <c r="G7" s="53" t="s">
        <v>1503</v>
      </c>
      <c r="H7" s="46" t="s">
        <v>2040</v>
      </c>
      <c r="I7" s="46" t="s">
        <v>2041</v>
      </c>
      <c r="J7" s="53" t="s">
        <v>2042</v>
      </c>
      <c r="K7" s="49"/>
      <c r="L7" s="48"/>
      <c r="M7" s="60"/>
      <c r="N7" s="60"/>
      <c r="O7" s="46"/>
      <c r="P7" s="46"/>
      <c r="Q7" s="46"/>
    </row>
    <row r="8" s="24" customFormat="true" ht="42" customHeight="true" spans="1:17">
      <c r="A8" s="49" t="s">
        <v>2025</v>
      </c>
      <c r="B8" s="50">
        <f>'[4]表20-1'!G6+L8</f>
        <v>90.6653</v>
      </c>
      <c r="C8" s="51">
        <f>D8+E8</f>
        <v>81.2023</v>
      </c>
      <c r="D8" s="50">
        <v>64.7423</v>
      </c>
      <c r="E8" s="55">
        <v>16.46</v>
      </c>
      <c r="F8" s="55">
        <f>G8+K8</f>
        <v>10.2717</v>
      </c>
      <c r="G8" s="55">
        <f>H8+I8+J8</f>
        <v>0.8717</v>
      </c>
      <c r="H8" s="55">
        <v>0.1222</v>
      </c>
      <c r="I8" s="55">
        <v>0.7295</v>
      </c>
      <c r="J8" s="55">
        <v>0.02</v>
      </c>
      <c r="K8" s="51">
        <v>9.4</v>
      </c>
      <c r="L8" s="50">
        <f>M8+N8</f>
        <v>6.52</v>
      </c>
      <c r="M8" s="51">
        <v>6.52</v>
      </c>
      <c r="N8" s="55"/>
      <c r="O8" s="55">
        <f>P8+Q8</f>
        <v>86.8506</v>
      </c>
      <c r="P8" s="55">
        <f>D8-H8-J8+M8</f>
        <v>71.1201</v>
      </c>
      <c r="Q8" s="55">
        <f>E8-I8+N8</f>
        <v>15.7305</v>
      </c>
    </row>
  </sheetData>
  <mergeCells count="21">
    <mergeCell ref="A2:Q2"/>
    <mergeCell ref="P3:Q3"/>
    <mergeCell ref="F4:N4"/>
    <mergeCell ref="F5:K5"/>
    <mergeCell ref="L5:N5"/>
    <mergeCell ref="G6:J6"/>
    <mergeCell ref="A4:A7"/>
    <mergeCell ref="B4:B7"/>
    <mergeCell ref="C6:C7"/>
    <mergeCell ref="D6:D7"/>
    <mergeCell ref="E6:E7"/>
    <mergeCell ref="F6:F7"/>
    <mergeCell ref="K6:K7"/>
    <mergeCell ref="L6:L7"/>
    <mergeCell ref="M6:M7"/>
    <mergeCell ref="N6:N7"/>
    <mergeCell ref="O6:O7"/>
    <mergeCell ref="P6:P7"/>
    <mergeCell ref="Q6:Q7"/>
    <mergeCell ref="C4:E5"/>
    <mergeCell ref="O4:Q5"/>
  </mergeCells>
  <pageMargins left="0.314583333333333" right="0.00100000004749745" top="0.786805555555556" bottom="0.268999993801117"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5"/>
  <sheetViews>
    <sheetView workbookViewId="0">
      <pane ySplit="4" topLeftCell="A5" activePane="bottomLeft" state="frozen"/>
      <selection/>
      <selection pane="bottomLeft" activeCell="A2" sqref="A2:B2"/>
    </sheetView>
  </sheetViews>
  <sheetFormatPr defaultColWidth="10" defaultRowHeight="13.5" outlineLevelCol="1"/>
  <cols>
    <col min="1" max="1" width="39.9" style="24" customWidth="true"/>
    <col min="2" max="2" width="25.65" style="24" customWidth="true"/>
    <col min="3" max="3" width="9.76666666666667" style="24" customWidth="true"/>
    <col min="4" max="16384" width="10" style="24"/>
  </cols>
  <sheetData>
    <row r="1" ht="14.3" customHeight="true" spans="1:1">
      <c r="A1" s="25" t="s">
        <v>2077</v>
      </c>
    </row>
    <row r="2" ht="20.35" customHeight="true" spans="1:2">
      <c r="A2" s="26" t="s">
        <v>2078</v>
      </c>
      <c r="B2" s="26"/>
    </row>
    <row r="3" ht="21" customHeight="true" spans="1:2">
      <c r="A3" s="27"/>
      <c r="B3" s="28" t="s">
        <v>2018</v>
      </c>
    </row>
    <row r="4" ht="20.35" customHeight="true" spans="1:2">
      <c r="A4" s="29" t="s">
        <v>2079</v>
      </c>
      <c r="B4" s="30" t="s">
        <v>270</v>
      </c>
    </row>
    <row r="5" ht="17.05" customHeight="true" spans="1:2">
      <c r="A5" s="31" t="s">
        <v>2080</v>
      </c>
      <c r="B5" s="32">
        <v>9.835</v>
      </c>
    </row>
    <row r="6" ht="17.05" customHeight="true" spans="1:2">
      <c r="A6" s="33" t="s">
        <v>2081</v>
      </c>
      <c r="B6" s="34">
        <f>B7+B8</f>
        <v>9.8707</v>
      </c>
    </row>
    <row r="7" ht="17.05" customHeight="true" spans="1:2">
      <c r="A7" s="33" t="s">
        <v>2082</v>
      </c>
      <c r="B7" s="34">
        <v>9.105</v>
      </c>
    </row>
    <row r="8" ht="15" customHeight="true" spans="1:2">
      <c r="A8" s="33" t="s">
        <v>2083</v>
      </c>
      <c r="B8" s="34">
        <v>0.7657</v>
      </c>
    </row>
    <row r="9" ht="17.05" customHeight="true" spans="1:2">
      <c r="A9" s="33" t="s">
        <v>2084</v>
      </c>
      <c r="B9" s="34">
        <f>SUM(B10:B11)</f>
        <v>9.06</v>
      </c>
    </row>
    <row r="10" ht="17.05" customHeight="true" spans="1:2">
      <c r="A10" s="33" t="s">
        <v>2085</v>
      </c>
      <c r="B10" s="34">
        <v>9.06</v>
      </c>
    </row>
    <row r="11" ht="17.05" customHeight="true" spans="1:2">
      <c r="A11" s="33" t="s">
        <v>2086</v>
      </c>
      <c r="B11" s="34">
        <v>0</v>
      </c>
    </row>
    <row r="12" ht="17.05" customHeight="true" spans="1:2">
      <c r="A12" s="33" t="s">
        <v>2087</v>
      </c>
      <c r="B12" s="34">
        <f>SUM(B13:B14)</f>
        <v>0.82</v>
      </c>
    </row>
    <row r="13" ht="17.05" customHeight="true" spans="1:2">
      <c r="A13" s="33" t="s">
        <v>2088</v>
      </c>
      <c r="B13" s="34">
        <v>0.05</v>
      </c>
    </row>
    <row r="14" ht="17.05" customHeight="true" spans="1:2">
      <c r="A14" s="33" t="s">
        <v>2089</v>
      </c>
      <c r="B14" s="34">
        <v>0.77</v>
      </c>
    </row>
    <row r="15" ht="17.05" customHeight="true" spans="1:2">
      <c r="A15" s="31" t="s">
        <v>2090</v>
      </c>
      <c r="B15" s="32"/>
    </row>
    <row r="16" ht="17.05" customHeight="true" spans="1:2">
      <c r="A16" s="33" t="s">
        <v>2091</v>
      </c>
      <c r="B16" s="34">
        <f>SUM(B17:B18)</f>
        <v>2.27</v>
      </c>
    </row>
    <row r="17" ht="17.05" customHeight="true" spans="1:2">
      <c r="A17" s="33" t="s">
        <v>2092</v>
      </c>
      <c r="B17" s="34">
        <v>1.85</v>
      </c>
    </row>
    <row r="18" ht="17.05" customHeight="true" spans="1:2">
      <c r="A18" s="33" t="s">
        <v>2093</v>
      </c>
      <c r="B18" s="34">
        <v>0.42</v>
      </c>
    </row>
    <row r="19" ht="17.05" customHeight="true" spans="1:2">
      <c r="A19" s="31" t="s">
        <v>2094</v>
      </c>
      <c r="B19" s="32"/>
    </row>
    <row r="20" ht="17.05" customHeight="true" spans="1:2">
      <c r="A20" s="33" t="s">
        <v>2095</v>
      </c>
      <c r="B20" s="34">
        <f>SUM(B21:B22)</f>
        <v>81.2</v>
      </c>
    </row>
    <row r="21" ht="17.05" customHeight="true" spans="1:2">
      <c r="A21" s="33" t="s">
        <v>2096</v>
      </c>
      <c r="B21" s="34">
        <v>64.74</v>
      </c>
    </row>
    <row r="22" ht="17.05" customHeight="true" spans="1:2">
      <c r="A22" s="33" t="s">
        <v>2097</v>
      </c>
      <c r="B22" s="34">
        <v>16.46</v>
      </c>
    </row>
    <row r="23" ht="17.05" customHeight="true" spans="1:2">
      <c r="A23" s="31" t="s">
        <v>2098</v>
      </c>
      <c r="B23" s="32"/>
    </row>
    <row r="24" ht="17.05" customHeight="true" spans="1:2">
      <c r="A24" s="33" t="s">
        <v>2099</v>
      </c>
      <c r="B24" s="34">
        <f>SUM(B25:B26)</f>
        <v>81.184815</v>
      </c>
    </row>
    <row r="25" ht="17.05" customHeight="true" spans="1:2">
      <c r="A25" s="33" t="s">
        <v>2100</v>
      </c>
      <c r="B25" s="34">
        <f>B28+B31+B34</f>
        <v>64.724765</v>
      </c>
    </row>
    <row r="26" ht="17.05" customHeight="true" spans="1:2">
      <c r="A26" s="33" t="s">
        <v>2101</v>
      </c>
      <c r="B26" s="34">
        <f>B29+B32+B35</f>
        <v>16.46005</v>
      </c>
    </row>
    <row r="27" ht="17.05" customHeight="true" spans="1:2">
      <c r="A27" s="33" t="s">
        <v>2102</v>
      </c>
      <c r="B27" s="34">
        <f>SUM(B28:B29)</f>
        <v>24.8852</v>
      </c>
    </row>
    <row r="28" ht="17.05" customHeight="true" spans="1:2">
      <c r="A28" s="33" t="s">
        <v>2103</v>
      </c>
      <c r="B28" s="34">
        <v>13.1257</v>
      </c>
    </row>
    <row r="29" ht="17.05" customHeight="true" spans="1:2">
      <c r="A29" s="33" t="s">
        <v>2104</v>
      </c>
      <c r="B29" s="34">
        <v>11.7595</v>
      </c>
    </row>
    <row r="30" ht="17.05" customHeight="true" spans="1:2">
      <c r="A30" s="33" t="s">
        <v>2105</v>
      </c>
      <c r="B30" s="34">
        <f>SUM(B31:B32)</f>
        <v>11.293815</v>
      </c>
    </row>
    <row r="31" ht="17.05" customHeight="true" spans="1:2">
      <c r="A31" s="33" t="s">
        <v>2106</v>
      </c>
      <c r="B31" s="34">
        <v>11.282465</v>
      </c>
    </row>
    <row r="32" ht="17.05" customHeight="true" spans="1:2">
      <c r="A32" s="33" t="s">
        <v>2107</v>
      </c>
      <c r="B32" s="34">
        <v>0.01135</v>
      </c>
    </row>
    <row r="33" ht="17.05" customHeight="true" spans="1:2">
      <c r="A33" s="33" t="s">
        <v>2108</v>
      </c>
      <c r="B33" s="34">
        <f>SUM(B34:B35)</f>
        <v>45.0058</v>
      </c>
    </row>
    <row r="34" ht="17.05" customHeight="true" spans="1:2">
      <c r="A34" s="33" t="s">
        <v>2109</v>
      </c>
      <c r="B34" s="34">
        <v>40.3166</v>
      </c>
    </row>
    <row r="35" ht="19.55" customHeight="true" spans="1:2">
      <c r="A35" s="33" t="s">
        <v>2110</v>
      </c>
      <c r="B35" s="34">
        <v>4.6892</v>
      </c>
    </row>
  </sheetData>
  <mergeCells count="1">
    <mergeCell ref="A2:B2"/>
  </mergeCells>
  <pageMargins left="0.39300000667572" right="0.39300000667572" top="0.39300000667572" bottom="0.39300000667572"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0"/>
  <sheetViews>
    <sheetView showGridLines="0" showZeros="0" zoomScale="85" zoomScaleNormal="85" workbookViewId="0">
      <pane xSplit="1" ySplit="5" topLeftCell="B60" activePane="bottomRight" state="frozen"/>
      <selection/>
      <selection pane="topRight"/>
      <selection pane="bottomLeft"/>
      <selection pane="bottomRight" activeCell="A90" sqref="A90"/>
    </sheetView>
  </sheetViews>
  <sheetFormatPr defaultColWidth="7.875" defaultRowHeight="14.25"/>
  <cols>
    <col min="1" max="1" width="54.8333333333333" style="495" customWidth="true"/>
    <col min="2" max="2" width="15.8333333333333" style="498" customWidth="true"/>
    <col min="3" max="3" width="13.8333333333333" style="498" hidden="true" customWidth="true"/>
    <col min="4" max="8" width="13.8333333333333" style="495" hidden="true" customWidth="true"/>
    <col min="9" max="9" width="50.8333333333333" style="495" customWidth="true"/>
    <col min="10" max="10" width="14.3333333333333" style="495" customWidth="true"/>
    <col min="11" max="11" width="11.375" style="495" hidden="true" customWidth="true"/>
    <col min="12" max="15" width="11.625" style="495" hidden="true" customWidth="true"/>
    <col min="16" max="16" width="12.5" style="495" hidden="true" customWidth="true"/>
    <col min="17" max="18" width="7.875" style="495" customWidth="true"/>
    <col min="19" max="16384" width="7.875" style="495"/>
  </cols>
  <sheetData>
    <row r="1" s="495" customFormat="true" ht="18" customHeight="true" spans="1:3">
      <c r="A1" s="496" t="s">
        <v>70</v>
      </c>
      <c r="B1" s="499"/>
      <c r="C1" s="498"/>
    </row>
    <row r="2" s="496" customFormat="true" ht="23.1" customHeight="true" spans="1:11">
      <c r="A2" s="500" t="s">
        <v>71</v>
      </c>
      <c r="B2" s="501"/>
      <c r="C2" s="501"/>
      <c r="D2" s="500"/>
      <c r="E2" s="500"/>
      <c r="F2" s="500"/>
      <c r="G2" s="500"/>
      <c r="H2" s="500"/>
      <c r="I2" s="500"/>
      <c r="J2" s="500"/>
      <c r="K2" s="500"/>
    </row>
    <row r="3" s="495" customFormat="true" ht="33.95" customHeight="true" spans="1:11">
      <c r="A3" s="496"/>
      <c r="B3" s="499"/>
      <c r="C3" s="498"/>
      <c r="J3" s="495" t="s">
        <v>3</v>
      </c>
      <c r="K3" s="534"/>
    </row>
    <row r="4" s="497" customFormat="true" ht="23.25" customHeight="true" spans="1:16">
      <c r="A4" s="62" t="s">
        <v>72</v>
      </c>
      <c r="B4" s="502"/>
      <c r="C4" s="502"/>
      <c r="D4" s="62"/>
      <c r="E4" s="62"/>
      <c r="F4" s="62"/>
      <c r="G4" s="62"/>
      <c r="H4" s="62"/>
      <c r="I4" s="535" t="s">
        <v>73</v>
      </c>
      <c r="J4" s="536"/>
      <c r="K4" s="537"/>
      <c r="L4" s="537"/>
      <c r="M4" s="537"/>
      <c r="N4" s="537"/>
      <c r="O4" s="537"/>
      <c r="P4" s="537"/>
    </row>
    <row r="5" s="497" customFormat="true" ht="23.25" customHeight="true" spans="1:16">
      <c r="A5" s="62" t="s">
        <v>74</v>
      </c>
      <c r="B5" s="502" t="s">
        <v>5</v>
      </c>
      <c r="C5" s="502" t="s">
        <v>6</v>
      </c>
      <c r="D5" s="503" t="s">
        <v>7</v>
      </c>
      <c r="E5" s="461" t="s">
        <v>8</v>
      </c>
      <c r="F5" s="460" t="s">
        <v>9</v>
      </c>
      <c r="G5" s="461" t="s">
        <v>10</v>
      </c>
      <c r="H5" s="460" t="s">
        <v>11</v>
      </c>
      <c r="I5" s="62" t="s">
        <v>4</v>
      </c>
      <c r="J5" s="62" t="s">
        <v>5</v>
      </c>
      <c r="K5" s="62" t="s">
        <v>6</v>
      </c>
      <c r="L5" s="503" t="s">
        <v>7</v>
      </c>
      <c r="M5" s="545" t="s">
        <v>8</v>
      </c>
      <c r="N5" s="460" t="s">
        <v>9</v>
      </c>
      <c r="O5" s="461" t="s">
        <v>10</v>
      </c>
      <c r="P5" s="460" t="s">
        <v>11</v>
      </c>
    </row>
    <row r="6" s="497" customFormat="true" ht="23.25" customHeight="true" spans="1:16">
      <c r="A6" s="504" t="s">
        <v>75</v>
      </c>
      <c r="B6" s="505">
        <f t="shared" ref="B6:B8" si="0">C6+D6+E6+F6+G6+H6</f>
        <v>157736</v>
      </c>
      <c r="C6" s="506">
        <v>57200</v>
      </c>
      <c r="D6" s="507">
        <v>19626</v>
      </c>
      <c r="E6" s="507">
        <v>20000</v>
      </c>
      <c r="F6" s="520">
        <v>12060</v>
      </c>
      <c r="G6" s="507">
        <v>9350</v>
      </c>
      <c r="H6" s="521">
        <v>39500</v>
      </c>
      <c r="I6" s="504" t="s">
        <v>76</v>
      </c>
      <c r="J6" s="505">
        <f>K6+L6+M6+N6+O6+P6</f>
        <v>2378451</v>
      </c>
      <c r="K6" s="505">
        <f>481506+1800+20362</f>
        <v>503668</v>
      </c>
      <c r="L6" s="538">
        <v>411223</v>
      </c>
      <c r="M6" s="546">
        <v>675058</v>
      </c>
      <c r="N6" s="505">
        <v>226907</v>
      </c>
      <c r="O6" s="517">
        <f>193401+1586-300</f>
        <v>194687</v>
      </c>
      <c r="P6" s="547">
        <v>366908</v>
      </c>
    </row>
    <row r="7" s="497" customFormat="true" ht="23.25" customHeight="true" spans="1:16">
      <c r="A7" s="504" t="s">
        <v>77</v>
      </c>
      <c r="B7" s="505">
        <f t="shared" si="0"/>
        <v>2341549.4</v>
      </c>
      <c r="C7" s="506">
        <f t="shared" ref="C7:H7" si="1">C8+C74+C77+C78+C82+C83+C84</f>
        <v>477766</v>
      </c>
      <c r="D7" s="508">
        <f t="shared" si="1"/>
        <v>392798</v>
      </c>
      <c r="E7" s="522">
        <f t="shared" si="1"/>
        <v>704806</v>
      </c>
      <c r="F7" s="506">
        <f t="shared" si="1"/>
        <v>234584.4</v>
      </c>
      <c r="G7" s="522">
        <f t="shared" si="1"/>
        <v>191540</v>
      </c>
      <c r="H7" s="506">
        <f t="shared" si="1"/>
        <v>340055</v>
      </c>
      <c r="I7" s="504" t="s">
        <v>78</v>
      </c>
      <c r="J7" s="505">
        <f t="shared" ref="J6:J10" si="2">K7+L7+M7+N7+O7+P7</f>
        <v>120834</v>
      </c>
      <c r="K7" s="505">
        <f t="shared" ref="K7:N7" si="3">K8+K78+K79+K80+K81+K82+K83</f>
        <v>31298</v>
      </c>
      <c r="L7" s="517">
        <v>1201</v>
      </c>
      <c r="M7" s="517">
        <f t="shared" si="3"/>
        <v>49748</v>
      </c>
      <c r="N7" s="505">
        <f t="shared" si="3"/>
        <v>19737</v>
      </c>
      <c r="O7" s="517">
        <v>6203</v>
      </c>
      <c r="P7" s="505">
        <f>P8+P78+P79+P80+P81+P82+P83</f>
        <v>12647</v>
      </c>
    </row>
    <row r="8" s="497" customFormat="true" ht="25.5" customHeight="true" spans="1:16">
      <c r="A8" s="504" t="s">
        <v>79</v>
      </c>
      <c r="B8" s="505">
        <f t="shared" si="0"/>
        <v>1910658.4</v>
      </c>
      <c r="C8" s="506">
        <f t="shared" ref="C8:H8" si="4">C9+C16+C52</f>
        <v>373501</v>
      </c>
      <c r="D8" s="508">
        <f t="shared" si="4"/>
        <v>319866</v>
      </c>
      <c r="E8" s="522">
        <f t="shared" si="4"/>
        <v>642823</v>
      </c>
      <c r="F8" s="506">
        <f t="shared" si="4"/>
        <v>185830.4</v>
      </c>
      <c r="G8" s="522">
        <f t="shared" si="4"/>
        <v>131976</v>
      </c>
      <c r="H8" s="506">
        <f t="shared" si="4"/>
        <v>256662</v>
      </c>
      <c r="I8" s="504" t="s">
        <v>80</v>
      </c>
      <c r="J8" s="505">
        <f t="shared" si="2"/>
        <v>1055</v>
      </c>
      <c r="K8" s="505">
        <f t="shared" ref="K8:P8" si="5">SUM(K9:K10)</f>
        <v>855</v>
      </c>
      <c r="L8" s="517">
        <f t="shared" si="5"/>
        <v>0</v>
      </c>
      <c r="M8" s="517">
        <f t="shared" si="5"/>
        <v>20</v>
      </c>
      <c r="N8" s="505">
        <f t="shared" si="5"/>
        <v>80</v>
      </c>
      <c r="O8" s="517">
        <f t="shared" si="5"/>
        <v>0</v>
      </c>
      <c r="P8" s="505">
        <f t="shared" si="5"/>
        <v>100</v>
      </c>
    </row>
    <row r="9" s="497" customFormat="true" ht="23.25" customHeight="true" spans="1:16">
      <c r="A9" s="504" t="s">
        <v>81</v>
      </c>
      <c r="B9" s="506">
        <f t="shared" ref="B9:H9" si="6">SUM(B10:B15)</f>
        <v>44164</v>
      </c>
      <c r="C9" s="506">
        <f t="shared" si="6"/>
        <v>19561</v>
      </c>
      <c r="D9" s="506">
        <f t="shared" si="6"/>
        <v>5446</v>
      </c>
      <c r="E9" s="522">
        <f t="shared" si="6"/>
        <v>5778</v>
      </c>
      <c r="F9" s="506">
        <f t="shared" si="6"/>
        <v>4713</v>
      </c>
      <c r="G9" s="522">
        <f t="shared" si="6"/>
        <v>3438</v>
      </c>
      <c r="H9" s="506">
        <f t="shared" si="6"/>
        <v>5228</v>
      </c>
      <c r="I9" s="509" t="s">
        <v>82</v>
      </c>
      <c r="J9" s="448">
        <f t="shared" si="2"/>
        <v>0</v>
      </c>
      <c r="K9" s="448"/>
      <c r="L9" s="538"/>
      <c r="M9" s="546"/>
      <c r="N9" s="548"/>
      <c r="O9" s="546"/>
      <c r="P9" s="525"/>
    </row>
    <row r="10" s="495" customFormat="true" ht="23.25" customHeight="true" spans="1:16">
      <c r="A10" s="509" t="s">
        <v>83</v>
      </c>
      <c r="B10" s="448">
        <f t="shared" ref="B10:B15" si="7">C10+D10+E10+F10+G10+H10</f>
        <v>893</v>
      </c>
      <c r="C10" s="510">
        <v>53</v>
      </c>
      <c r="D10" s="511">
        <v>330</v>
      </c>
      <c r="E10" s="523">
        <v>54</v>
      </c>
      <c r="F10" s="524">
        <v>363</v>
      </c>
      <c r="G10" s="511">
        <v>29</v>
      </c>
      <c r="H10" s="525">
        <v>64</v>
      </c>
      <c r="I10" s="509" t="s">
        <v>84</v>
      </c>
      <c r="J10" s="448">
        <f t="shared" si="2"/>
        <v>1055</v>
      </c>
      <c r="K10" s="448">
        <v>855</v>
      </c>
      <c r="L10" s="539"/>
      <c r="M10" s="549">
        <v>20</v>
      </c>
      <c r="N10" s="550">
        <v>80</v>
      </c>
      <c r="O10" s="549"/>
      <c r="P10" s="525">
        <v>100</v>
      </c>
    </row>
    <row r="11" s="495" customFormat="true" ht="23.25" customHeight="true" spans="1:16">
      <c r="A11" s="509" t="s">
        <v>85</v>
      </c>
      <c r="B11" s="448">
        <f t="shared" si="7"/>
        <v>529</v>
      </c>
      <c r="C11" s="510"/>
      <c r="D11" s="511">
        <v>154</v>
      </c>
      <c r="E11" s="523">
        <v>130</v>
      </c>
      <c r="F11" s="524">
        <v>92</v>
      </c>
      <c r="G11" s="511">
        <v>92</v>
      </c>
      <c r="H11" s="525">
        <v>61</v>
      </c>
      <c r="I11" s="509"/>
      <c r="J11" s="448"/>
      <c r="K11" s="448"/>
      <c r="L11" s="511"/>
      <c r="M11" s="549"/>
      <c r="N11" s="550"/>
      <c r="O11" s="549"/>
      <c r="P11" s="525"/>
    </row>
    <row r="12" s="495" customFormat="true" ht="23.25" customHeight="true" spans="1:16">
      <c r="A12" s="509" t="s">
        <v>86</v>
      </c>
      <c r="B12" s="448">
        <f t="shared" si="7"/>
        <v>632</v>
      </c>
      <c r="C12" s="510">
        <v>4</v>
      </c>
      <c r="D12" s="511">
        <v>433</v>
      </c>
      <c r="E12" s="523">
        <v>122</v>
      </c>
      <c r="F12" s="524"/>
      <c r="G12" s="511">
        <v>31</v>
      </c>
      <c r="H12" s="525">
        <v>42</v>
      </c>
      <c r="I12" s="509" t="s">
        <v>87</v>
      </c>
      <c r="J12" s="448"/>
      <c r="K12" s="505"/>
      <c r="L12" s="539"/>
      <c r="M12" s="546"/>
      <c r="N12" s="550"/>
      <c r="O12" s="546"/>
      <c r="P12" s="525"/>
    </row>
    <row r="13" s="495" customFormat="true" ht="23.25" customHeight="true" spans="1:16">
      <c r="A13" s="509" t="s">
        <v>88</v>
      </c>
      <c r="B13" s="448">
        <f t="shared" si="7"/>
        <v>0</v>
      </c>
      <c r="C13" s="510"/>
      <c r="D13" s="511"/>
      <c r="E13" s="523">
        <v>0</v>
      </c>
      <c r="F13" s="524"/>
      <c r="G13" s="511"/>
      <c r="H13" s="525">
        <v>0</v>
      </c>
      <c r="I13" s="509" t="s">
        <v>87</v>
      </c>
      <c r="J13" s="448"/>
      <c r="K13" s="505"/>
      <c r="L13" s="539"/>
      <c r="M13" s="546"/>
      <c r="N13" s="550"/>
      <c r="O13" s="546"/>
      <c r="P13" s="525"/>
    </row>
    <row r="14" s="495" customFormat="true" ht="23.25" customHeight="true" spans="1:16">
      <c r="A14" s="509" t="s">
        <v>89</v>
      </c>
      <c r="B14" s="448">
        <f t="shared" si="7"/>
        <v>42110</v>
      </c>
      <c r="C14" s="510">
        <v>19504</v>
      </c>
      <c r="D14" s="511">
        <v>4529</v>
      </c>
      <c r="E14" s="523">
        <v>5472</v>
      </c>
      <c r="F14" s="524">
        <v>4258</v>
      </c>
      <c r="G14" s="511">
        <v>3286</v>
      </c>
      <c r="H14" s="525">
        <v>5061</v>
      </c>
      <c r="I14" s="509" t="s">
        <v>87</v>
      </c>
      <c r="J14" s="448"/>
      <c r="K14" s="533"/>
      <c r="L14" s="518"/>
      <c r="M14" s="518"/>
      <c r="N14" s="533"/>
      <c r="O14" s="518"/>
      <c r="P14" s="525"/>
    </row>
    <row r="15" s="495" customFormat="true" ht="23.25" customHeight="true" spans="1:16">
      <c r="A15" s="509" t="s">
        <v>90</v>
      </c>
      <c r="B15" s="448">
        <f t="shared" si="7"/>
        <v>0</v>
      </c>
      <c r="C15" s="510"/>
      <c r="D15" s="511"/>
      <c r="E15" s="515"/>
      <c r="F15" s="526"/>
      <c r="G15" s="515"/>
      <c r="H15" s="525">
        <v>0</v>
      </c>
      <c r="I15" s="509" t="s">
        <v>87</v>
      </c>
      <c r="J15" s="448"/>
      <c r="K15" s="533"/>
      <c r="L15" s="518"/>
      <c r="M15" s="518"/>
      <c r="N15" s="533"/>
      <c r="O15" s="518"/>
      <c r="P15" s="525"/>
    </row>
    <row r="16" s="495" customFormat="true" ht="27" customHeight="true" spans="1:16">
      <c r="A16" s="504" t="s">
        <v>91</v>
      </c>
      <c r="B16" s="505">
        <f t="shared" ref="B16:H16" si="8">SUM(B17:B51)</f>
        <v>1646268.4</v>
      </c>
      <c r="C16" s="506">
        <f t="shared" si="8"/>
        <v>248820</v>
      </c>
      <c r="D16" s="512">
        <f t="shared" si="8"/>
        <v>288709</v>
      </c>
      <c r="E16" s="522">
        <f t="shared" si="8"/>
        <v>555097</v>
      </c>
      <c r="F16" s="506">
        <f t="shared" si="8"/>
        <v>177636.4</v>
      </c>
      <c r="G16" s="522">
        <f t="shared" si="8"/>
        <v>127096</v>
      </c>
      <c r="H16" s="506">
        <f t="shared" si="8"/>
        <v>248910</v>
      </c>
      <c r="I16" s="509" t="s">
        <v>87</v>
      </c>
      <c r="J16" s="448"/>
      <c r="K16" s="533"/>
      <c r="L16" s="518"/>
      <c r="M16" s="518"/>
      <c r="N16" s="533"/>
      <c r="O16" s="518"/>
      <c r="P16" s="525"/>
    </row>
    <row r="17" s="495" customFormat="true" ht="27" customHeight="true" spans="1:16">
      <c r="A17" s="509" t="s">
        <v>92</v>
      </c>
      <c r="B17" s="448">
        <f t="shared" ref="B17:B80" si="9">C17+D17+E17+F17+G17+H17</f>
        <v>3364</v>
      </c>
      <c r="C17" s="510">
        <v>2507</v>
      </c>
      <c r="D17" s="511">
        <v>-1941</v>
      </c>
      <c r="E17" s="523">
        <v>-263</v>
      </c>
      <c r="F17" s="527">
        <v>-4</v>
      </c>
      <c r="G17" s="511">
        <v>-275</v>
      </c>
      <c r="H17" s="525">
        <v>3340</v>
      </c>
      <c r="I17" s="509" t="s">
        <v>87</v>
      </c>
      <c r="J17" s="448"/>
      <c r="K17" s="505"/>
      <c r="L17" s="538"/>
      <c r="M17" s="546"/>
      <c r="N17" s="548"/>
      <c r="O17" s="546"/>
      <c r="P17" s="525"/>
    </row>
    <row r="18" s="495" customFormat="true" ht="23.25" customHeight="true" spans="1:16">
      <c r="A18" s="509" t="s">
        <v>93</v>
      </c>
      <c r="B18" s="448">
        <f t="shared" si="9"/>
        <v>705797</v>
      </c>
      <c r="C18" s="510">
        <v>126919</v>
      </c>
      <c r="D18" s="511">
        <v>127953</v>
      </c>
      <c r="E18" s="523">
        <v>185914</v>
      </c>
      <c r="F18" s="527">
        <v>89932</v>
      </c>
      <c r="G18" s="511">
        <v>59706</v>
      </c>
      <c r="H18" s="525">
        <v>115373</v>
      </c>
      <c r="I18" s="509" t="s">
        <v>87</v>
      </c>
      <c r="J18" s="448"/>
      <c r="K18" s="505"/>
      <c r="L18" s="538"/>
      <c r="M18" s="546"/>
      <c r="N18" s="548"/>
      <c r="O18" s="546"/>
      <c r="P18" s="525"/>
    </row>
    <row r="19" s="495" customFormat="true" ht="23.25" customHeight="true" spans="1:16">
      <c r="A19" s="509" t="s">
        <v>94</v>
      </c>
      <c r="B19" s="448">
        <f t="shared" si="9"/>
        <v>65175</v>
      </c>
      <c r="C19" s="510"/>
      <c r="D19" s="511">
        <v>20307</v>
      </c>
      <c r="E19" s="523">
        <v>18745</v>
      </c>
      <c r="F19" s="527">
        <v>10275</v>
      </c>
      <c r="G19" s="511">
        <v>6004</v>
      </c>
      <c r="H19" s="525">
        <v>9844</v>
      </c>
      <c r="I19" s="509" t="s">
        <v>87</v>
      </c>
      <c r="J19" s="448"/>
      <c r="K19" s="505"/>
      <c r="L19" s="539"/>
      <c r="M19" s="549"/>
      <c r="N19" s="550"/>
      <c r="O19" s="549"/>
      <c r="P19" s="525"/>
    </row>
    <row r="20" s="495" customFormat="true" ht="23.25" customHeight="true" spans="1:16">
      <c r="A20" s="509" t="s">
        <v>95</v>
      </c>
      <c r="B20" s="448">
        <f t="shared" si="9"/>
        <v>23173.1</v>
      </c>
      <c r="C20" s="510">
        <v>631</v>
      </c>
      <c r="D20" s="511">
        <v>1757</v>
      </c>
      <c r="E20" s="523">
        <v>10500</v>
      </c>
      <c r="F20" s="527">
        <v>4645.1</v>
      </c>
      <c r="G20" s="511">
        <v>1807</v>
      </c>
      <c r="H20" s="525">
        <v>3833</v>
      </c>
      <c r="I20" s="509" t="s">
        <v>87</v>
      </c>
      <c r="J20" s="448"/>
      <c r="K20" s="448"/>
      <c r="L20" s="539"/>
      <c r="M20" s="549"/>
      <c r="N20" s="550"/>
      <c r="O20" s="549"/>
      <c r="P20" s="525"/>
    </row>
    <row r="21" s="495" customFormat="true" ht="24" customHeight="true" spans="1:16">
      <c r="A21" s="509" t="s">
        <v>96</v>
      </c>
      <c r="B21" s="448">
        <f t="shared" si="9"/>
        <v>1520</v>
      </c>
      <c r="C21" s="510"/>
      <c r="D21" s="511">
        <v>616</v>
      </c>
      <c r="E21" s="523"/>
      <c r="F21" s="528"/>
      <c r="G21" s="511"/>
      <c r="H21" s="525">
        <v>904</v>
      </c>
      <c r="I21" s="509" t="s">
        <v>87</v>
      </c>
      <c r="J21" s="448"/>
      <c r="K21" s="540"/>
      <c r="L21" s="539"/>
      <c r="M21" s="551"/>
      <c r="N21" s="550"/>
      <c r="O21" s="551"/>
      <c r="P21" s="525"/>
    </row>
    <row r="22" s="495" customFormat="true" ht="24" customHeight="true" spans="1:16">
      <c r="A22" s="509" t="s">
        <v>97</v>
      </c>
      <c r="B22" s="448">
        <f t="shared" si="9"/>
        <v>728</v>
      </c>
      <c r="C22" s="510">
        <v>508</v>
      </c>
      <c r="D22" s="511"/>
      <c r="E22" s="515">
        <v>79</v>
      </c>
      <c r="F22" s="528">
        <v>64</v>
      </c>
      <c r="G22" s="515">
        <v>32</v>
      </c>
      <c r="H22" s="525">
        <v>45</v>
      </c>
      <c r="I22" s="509" t="s">
        <v>87</v>
      </c>
      <c r="J22" s="448"/>
      <c r="K22" s="448"/>
      <c r="L22" s="539"/>
      <c r="M22" s="549"/>
      <c r="N22" s="550"/>
      <c r="O22" s="549"/>
      <c r="P22" s="525"/>
    </row>
    <row r="23" s="495" customFormat="true" ht="24" customHeight="true" spans="1:16">
      <c r="A23" s="509" t="s">
        <v>98</v>
      </c>
      <c r="B23" s="448">
        <f t="shared" si="9"/>
        <v>2800</v>
      </c>
      <c r="C23" s="510"/>
      <c r="D23" s="511"/>
      <c r="E23" s="523">
        <v>2800</v>
      </c>
      <c r="F23" s="528"/>
      <c r="G23" s="511"/>
      <c r="H23" s="525"/>
      <c r="I23" s="509" t="s">
        <v>87</v>
      </c>
      <c r="J23" s="448"/>
      <c r="K23" s="448"/>
      <c r="L23" s="539"/>
      <c r="M23" s="549"/>
      <c r="N23" s="550"/>
      <c r="O23" s="549"/>
      <c r="P23" s="525"/>
    </row>
    <row r="24" s="495" customFormat="true" ht="23.25" customHeight="true" spans="1:16">
      <c r="A24" s="509" t="s">
        <v>99</v>
      </c>
      <c r="B24" s="448">
        <f t="shared" si="9"/>
        <v>90687</v>
      </c>
      <c r="C24" s="510">
        <v>286</v>
      </c>
      <c r="D24" s="511">
        <v>18796</v>
      </c>
      <c r="E24" s="523">
        <v>22322</v>
      </c>
      <c r="F24" s="528">
        <v>14420</v>
      </c>
      <c r="G24" s="511">
        <v>18071</v>
      </c>
      <c r="H24" s="525">
        <v>16792</v>
      </c>
      <c r="I24" s="509" t="s">
        <v>87</v>
      </c>
      <c r="J24" s="448"/>
      <c r="K24" s="540"/>
      <c r="L24" s="539"/>
      <c r="M24" s="551"/>
      <c r="N24" s="550"/>
      <c r="O24" s="551"/>
      <c r="P24" s="525"/>
    </row>
    <row r="25" s="495" customFormat="true" ht="23.25" customHeight="true" spans="1:16">
      <c r="A25" s="509" t="s">
        <v>100</v>
      </c>
      <c r="B25" s="448">
        <f t="shared" si="9"/>
        <v>74234.5</v>
      </c>
      <c r="C25" s="510">
        <v>9431</v>
      </c>
      <c r="D25" s="511">
        <v>18691</v>
      </c>
      <c r="E25" s="523">
        <v>18458</v>
      </c>
      <c r="F25" s="528">
        <v>10756.5</v>
      </c>
      <c r="G25" s="511">
        <v>6161</v>
      </c>
      <c r="H25" s="525">
        <v>10737</v>
      </c>
      <c r="I25" s="509" t="s">
        <v>87</v>
      </c>
      <c r="J25" s="448"/>
      <c r="K25" s="540"/>
      <c r="L25" s="539"/>
      <c r="M25" s="551"/>
      <c r="N25" s="550"/>
      <c r="O25" s="551"/>
      <c r="P25" s="525"/>
    </row>
    <row r="26" s="495" customFormat="true" ht="23.25" customHeight="true" spans="1:16">
      <c r="A26" s="509" t="s">
        <v>101</v>
      </c>
      <c r="B26" s="448">
        <f t="shared" si="9"/>
        <v>10677</v>
      </c>
      <c r="C26" s="510"/>
      <c r="D26" s="511">
        <v>2138</v>
      </c>
      <c r="E26" s="523">
        <v>2500</v>
      </c>
      <c r="F26" s="529">
        <v>1847</v>
      </c>
      <c r="G26" s="511">
        <v>2117</v>
      </c>
      <c r="H26" s="525">
        <v>2075</v>
      </c>
      <c r="I26" s="509" t="s">
        <v>87</v>
      </c>
      <c r="J26" s="448"/>
      <c r="K26" s="540"/>
      <c r="L26" s="539"/>
      <c r="M26" s="551"/>
      <c r="N26" s="550"/>
      <c r="O26" s="551"/>
      <c r="P26" s="525"/>
    </row>
    <row r="27" s="495" customFormat="true" ht="23.25" customHeight="true" spans="1:16">
      <c r="A27" s="509" t="s">
        <v>102</v>
      </c>
      <c r="B27" s="448">
        <f t="shared" si="9"/>
        <v>0</v>
      </c>
      <c r="C27" s="510"/>
      <c r="D27" s="511"/>
      <c r="E27" s="523">
        <v>0</v>
      </c>
      <c r="F27" s="527"/>
      <c r="G27" s="511"/>
      <c r="H27" s="525"/>
      <c r="I27" s="509" t="s">
        <v>87</v>
      </c>
      <c r="J27" s="448"/>
      <c r="K27" s="540"/>
      <c r="L27" s="539"/>
      <c r="M27" s="551"/>
      <c r="N27" s="550"/>
      <c r="O27" s="551"/>
      <c r="P27" s="525"/>
    </row>
    <row r="28" s="495" customFormat="true" ht="23.25" customHeight="true" spans="1:16">
      <c r="A28" s="509" t="s">
        <v>103</v>
      </c>
      <c r="B28" s="448">
        <f t="shared" si="9"/>
        <v>0</v>
      </c>
      <c r="C28" s="510"/>
      <c r="D28" s="511"/>
      <c r="E28" s="515">
        <v>0</v>
      </c>
      <c r="F28" s="527"/>
      <c r="G28" s="515"/>
      <c r="H28" s="525"/>
      <c r="I28" s="509" t="s">
        <v>87</v>
      </c>
      <c r="J28" s="448"/>
      <c r="K28" s="540"/>
      <c r="L28" s="539"/>
      <c r="M28" s="551"/>
      <c r="N28" s="550"/>
      <c r="O28" s="551"/>
      <c r="P28" s="525"/>
    </row>
    <row r="29" s="495" customFormat="true" ht="23.25" customHeight="true" spans="1:16">
      <c r="A29" s="509" t="s">
        <v>104</v>
      </c>
      <c r="B29" s="448">
        <f t="shared" si="9"/>
        <v>127720</v>
      </c>
      <c r="C29" s="510"/>
      <c r="D29" s="511">
        <v>36221</v>
      </c>
      <c r="E29" s="523">
        <v>52560</v>
      </c>
      <c r="F29" s="527">
        <v>14994</v>
      </c>
      <c r="G29" s="511">
        <v>9471</v>
      </c>
      <c r="H29" s="525">
        <v>14474</v>
      </c>
      <c r="I29" s="509" t="s">
        <v>87</v>
      </c>
      <c r="J29" s="448"/>
      <c r="K29" s="540"/>
      <c r="L29" s="539"/>
      <c r="M29" s="551"/>
      <c r="N29" s="550"/>
      <c r="O29" s="551"/>
      <c r="P29" s="525"/>
    </row>
    <row r="30" s="495" customFormat="true" ht="23.25" customHeight="true" spans="1:16">
      <c r="A30" s="509" t="s">
        <v>105</v>
      </c>
      <c r="B30" s="448">
        <f t="shared" si="9"/>
        <v>0</v>
      </c>
      <c r="C30" s="510"/>
      <c r="D30" s="511"/>
      <c r="E30" s="523"/>
      <c r="F30" s="530"/>
      <c r="G30" s="511"/>
      <c r="H30" s="525"/>
      <c r="I30" s="509" t="s">
        <v>87</v>
      </c>
      <c r="J30" s="448"/>
      <c r="K30" s="505"/>
      <c r="L30" s="538"/>
      <c r="M30" s="546"/>
      <c r="N30" s="548"/>
      <c r="O30" s="546"/>
      <c r="P30" s="525"/>
    </row>
    <row r="31" s="495" customFormat="true" ht="23.25" customHeight="true" spans="1:16">
      <c r="A31" s="509" t="s">
        <v>106</v>
      </c>
      <c r="B31" s="448">
        <f t="shared" si="9"/>
        <v>0</v>
      </c>
      <c r="C31" s="510"/>
      <c r="D31" s="511"/>
      <c r="E31" s="523"/>
      <c r="F31" s="530"/>
      <c r="G31" s="511"/>
      <c r="H31" s="525"/>
      <c r="I31" s="509" t="s">
        <v>87</v>
      </c>
      <c r="J31" s="448"/>
      <c r="K31" s="448"/>
      <c r="L31" s="539"/>
      <c r="M31" s="549"/>
      <c r="N31" s="550"/>
      <c r="O31" s="549"/>
      <c r="P31" s="525"/>
    </row>
    <row r="32" s="495" customFormat="true" ht="23.25" customHeight="true" spans="1:16">
      <c r="A32" s="509" t="s">
        <v>107</v>
      </c>
      <c r="B32" s="448">
        <f t="shared" si="9"/>
        <v>0</v>
      </c>
      <c r="C32" s="510"/>
      <c r="D32" s="511"/>
      <c r="E32" s="523"/>
      <c r="F32" s="527"/>
      <c r="G32" s="511"/>
      <c r="H32" s="525"/>
      <c r="I32" s="509" t="s">
        <v>87</v>
      </c>
      <c r="J32" s="448"/>
      <c r="K32" s="448"/>
      <c r="L32" s="539"/>
      <c r="M32" s="549"/>
      <c r="N32" s="550"/>
      <c r="O32" s="549"/>
      <c r="P32" s="525"/>
    </row>
    <row r="33" s="495" customFormat="true" ht="32" customHeight="true" spans="1:16">
      <c r="A33" s="509" t="s">
        <v>108</v>
      </c>
      <c r="B33" s="448">
        <f t="shared" si="9"/>
        <v>6733</v>
      </c>
      <c r="C33" s="510">
        <v>869</v>
      </c>
      <c r="D33" s="511">
        <v>144</v>
      </c>
      <c r="E33" s="523">
        <v>2500</v>
      </c>
      <c r="F33" s="530">
        <v>1151</v>
      </c>
      <c r="G33" s="511">
        <v>1155</v>
      </c>
      <c r="H33" s="525">
        <v>914</v>
      </c>
      <c r="I33" s="509" t="s">
        <v>87</v>
      </c>
      <c r="J33" s="448"/>
      <c r="K33" s="448"/>
      <c r="L33" s="539"/>
      <c r="M33" s="549"/>
      <c r="N33" s="550"/>
      <c r="O33" s="549"/>
      <c r="P33" s="525"/>
    </row>
    <row r="34" s="495" customFormat="true" ht="32" customHeight="true" spans="1:16">
      <c r="A34" s="509" t="s">
        <v>109</v>
      </c>
      <c r="B34" s="448">
        <f t="shared" si="9"/>
        <v>50152.4</v>
      </c>
      <c r="C34" s="510">
        <v>2869</v>
      </c>
      <c r="D34" s="511">
        <v>1946</v>
      </c>
      <c r="E34" s="515">
        <v>37500</v>
      </c>
      <c r="F34" s="530">
        <v>533.4</v>
      </c>
      <c r="G34" s="515">
        <v>269</v>
      </c>
      <c r="H34" s="525">
        <v>7035</v>
      </c>
      <c r="I34" s="509" t="s">
        <v>87</v>
      </c>
      <c r="J34" s="448"/>
      <c r="K34" s="448"/>
      <c r="L34" s="539"/>
      <c r="M34" s="549"/>
      <c r="N34" s="550"/>
      <c r="O34" s="549"/>
      <c r="P34" s="525"/>
    </row>
    <row r="35" s="495" customFormat="true" ht="32" customHeight="true" spans="1:16">
      <c r="A35" s="509" t="s">
        <v>110</v>
      </c>
      <c r="B35" s="448">
        <f t="shared" si="9"/>
        <v>1764</v>
      </c>
      <c r="C35" s="510">
        <v>439</v>
      </c>
      <c r="D35" s="511"/>
      <c r="E35" s="523">
        <v>1300</v>
      </c>
      <c r="F35" s="527"/>
      <c r="G35" s="511">
        <v>25</v>
      </c>
      <c r="H35" s="525"/>
      <c r="I35" s="509" t="s">
        <v>87</v>
      </c>
      <c r="J35" s="448"/>
      <c r="K35" s="448"/>
      <c r="L35" s="539"/>
      <c r="M35" s="549"/>
      <c r="N35" s="550"/>
      <c r="O35" s="549"/>
      <c r="P35" s="525"/>
    </row>
    <row r="36" s="495" customFormat="true" ht="32" customHeight="true" spans="1:16">
      <c r="A36" s="509" t="s">
        <v>111</v>
      </c>
      <c r="B36" s="448">
        <f t="shared" si="9"/>
        <v>6254</v>
      </c>
      <c r="C36" s="510">
        <v>1209</v>
      </c>
      <c r="D36" s="511">
        <v>1499</v>
      </c>
      <c r="E36" s="523">
        <v>1800</v>
      </c>
      <c r="F36" s="527"/>
      <c r="G36" s="511">
        <v>843</v>
      </c>
      <c r="H36" s="525">
        <v>903</v>
      </c>
      <c r="I36" s="509" t="s">
        <v>87</v>
      </c>
      <c r="J36" s="448"/>
      <c r="K36" s="448"/>
      <c r="L36" s="539"/>
      <c r="M36" s="549"/>
      <c r="N36" s="550"/>
      <c r="O36" s="549"/>
      <c r="P36" s="525"/>
    </row>
    <row r="37" s="495" customFormat="true" ht="32" customHeight="true" spans="1:16">
      <c r="A37" s="509" t="s">
        <v>112</v>
      </c>
      <c r="B37" s="448">
        <f t="shared" si="9"/>
        <v>143465</v>
      </c>
      <c r="C37" s="510">
        <v>6806</v>
      </c>
      <c r="D37" s="511">
        <v>33580</v>
      </c>
      <c r="E37" s="523">
        <v>57000</v>
      </c>
      <c r="F37" s="527">
        <f>9765+3737</f>
        <v>13502</v>
      </c>
      <c r="G37" s="511">
        <v>12363</v>
      </c>
      <c r="H37" s="525">
        <v>20214</v>
      </c>
      <c r="I37" s="509" t="s">
        <v>87</v>
      </c>
      <c r="J37" s="448"/>
      <c r="K37" s="448"/>
      <c r="L37" s="539"/>
      <c r="M37" s="549"/>
      <c r="N37" s="550"/>
      <c r="O37" s="549"/>
      <c r="P37" s="525"/>
    </row>
    <row r="38" s="495" customFormat="true" ht="32" customHeight="true" spans="1:16">
      <c r="A38" s="509" t="s">
        <v>113</v>
      </c>
      <c r="B38" s="448">
        <f t="shared" si="9"/>
        <v>107860</v>
      </c>
      <c r="C38" s="510">
        <f>69291+20362</f>
        <v>89653</v>
      </c>
      <c r="D38" s="511">
        <v>368</v>
      </c>
      <c r="E38" s="523">
        <v>12900</v>
      </c>
      <c r="F38" s="527">
        <v>2402</v>
      </c>
      <c r="G38" s="511">
        <v>159</v>
      </c>
      <c r="H38" s="525">
        <v>2378</v>
      </c>
      <c r="I38" s="509" t="s">
        <v>87</v>
      </c>
      <c r="J38" s="448"/>
      <c r="K38" s="448"/>
      <c r="L38" s="539"/>
      <c r="M38" s="549"/>
      <c r="N38" s="550"/>
      <c r="O38" s="549"/>
      <c r="P38" s="525"/>
    </row>
    <row r="39" s="495" customFormat="true" ht="32" customHeight="true" spans="1:16">
      <c r="A39" s="509" t="s">
        <v>114</v>
      </c>
      <c r="B39" s="448">
        <f t="shared" si="9"/>
        <v>8930.3</v>
      </c>
      <c r="C39" s="510"/>
      <c r="D39" s="511"/>
      <c r="E39" s="523">
        <v>7082</v>
      </c>
      <c r="F39" s="527">
        <v>932.3</v>
      </c>
      <c r="G39" s="511"/>
      <c r="H39" s="525">
        <v>916</v>
      </c>
      <c r="I39" s="509" t="s">
        <v>87</v>
      </c>
      <c r="J39" s="448"/>
      <c r="K39" s="448"/>
      <c r="L39" s="539"/>
      <c r="M39" s="549"/>
      <c r="N39" s="550"/>
      <c r="O39" s="549"/>
      <c r="P39" s="525"/>
    </row>
    <row r="40" s="495" customFormat="true" ht="32" customHeight="true" spans="1:16">
      <c r="A40" s="509" t="s">
        <v>115</v>
      </c>
      <c r="B40" s="448">
        <f t="shared" si="9"/>
        <v>0</v>
      </c>
      <c r="C40" s="510"/>
      <c r="D40" s="511"/>
      <c r="E40" s="515"/>
      <c r="F40" s="527"/>
      <c r="G40" s="515"/>
      <c r="H40" s="525"/>
      <c r="I40" s="509" t="s">
        <v>87</v>
      </c>
      <c r="J40" s="448"/>
      <c r="K40" s="448"/>
      <c r="L40" s="539"/>
      <c r="M40" s="549"/>
      <c r="N40" s="550"/>
      <c r="O40" s="549"/>
      <c r="P40" s="525"/>
    </row>
    <row r="41" s="495" customFormat="true" ht="32" customHeight="true" spans="1:16">
      <c r="A41" s="509" t="s">
        <v>116</v>
      </c>
      <c r="B41" s="448">
        <f t="shared" si="9"/>
        <v>156833.1</v>
      </c>
      <c r="C41" s="510">
        <v>5744</v>
      </c>
      <c r="D41" s="511">
        <v>24345</v>
      </c>
      <c r="E41" s="523">
        <v>85000</v>
      </c>
      <c r="F41" s="527">
        <v>10759.1</v>
      </c>
      <c r="G41" s="511">
        <v>6002</v>
      </c>
      <c r="H41" s="525">
        <v>24983</v>
      </c>
      <c r="I41" s="509" t="s">
        <v>87</v>
      </c>
      <c r="J41" s="448"/>
      <c r="K41" s="448"/>
      <c r="L41" s="539"/>
      <c r="M41" s="549"/>
      <c r="N41" s="550"/>
      <c r="O41" s="549"/>
      <c r="P41" s="525"/>
    </row>
    <row r="42" s="495" customFormat="true" ht="32" customHeight="true" spans="1:16">
      <c r="A42" s="509" t="s">
        <v>117</v>
      </c>
      <c r="B42" s="448">
        <f t="shared" si="9"/>
        <v>49685</v>
      </c>
      <c r="C42" s="510">
        <v>479</v>
      </c>
      <c r="D42" s="511">
        <v>851</v>
      </c>
      <c r="E42" s="523">
        <v>35300</v>
      </c>
      <c r="F42" s="527">
        <v>1043</v>
      </c>
      <c r="G42" s="511">
        <v>113</v>
      </c>
      <c r="H42" s="525">
        <v>11899</v>
      </c>
      <c r="I42" s="509" t="s">
        <v>87</v>
      </c>
      <c r="J42" s="448"/>
      <c r="K42" s="448"/>
      <c r="L42" s="539"/>
      <c r="M42" s="549"/>
      <c r="N42" s="550"/>
      <c r="O42" s="549"/>
      <c r="P42" s="525"/>
    </row>
    <row r="43" s="495" customFormat="true" ht="32" customHeight="true" spans="1:16">
      <c r="A43" s="509" t="s">
        <v>118</v>
      </c>
      <c r="B43" s="448">
        <f t="shared" si="9"/>
        <v>0</v>
      </c>
      <c r="C43" s="510"/>
      <c r="D43" s="511"/>
      <c r="E43" s="523">
        <v>0</v>
      </c>
      <c r="F43" s="527"/>
      <c r="G43" s="511"/>
      <c r="H43" s="525"/>
      <c r="I43" s="509" t="s">
        <v>87</v>
      </c>
      <c r="J43" s="448"/>
      <c r="K43" s="448"/>
      <c r="L43" s="539"/>
      <c r="M43" s="549"/>
      <c r="N43" s="550"/>
      <c r="O43" s="549"/>
      <c r="P43" s="525"/>
    </row>
    <row r="44" s="495" customFormat="true" ht="32" customHeight="true" spans="1:16">
      <c r="A44" s="509" t="s">
        <v>119</v>
      </c>
      <c r="B44" s="448">
        <f t="shared" si="9"/>
        <v>0</v>
      </c>
      <c r="C44" s="510"/>
      <c r="D44" s="511"/>
      <c r="E44" s="523">
        <v>0</v>
      </c>
      <c r="F44" s="527"/>
      <c r="G44" s="511"/>
      <c r="H44" s="525"/>
      <c r="I44" s="509" t="s">
        <v>87</v>
      </c>
      <c r="J44" s="448"/>
      <c r="K44" s="448"/>
      <c r="L44" s="539"/>
      <c r="M44" s="549"/>
      <c r="N44" s="550"/>
      <c r="O44" s="549"/>
      <c r="P44" s="525"/>
    </row>
    <row r="45" s="495" customFormat="true" ht="32" customHeight="true" spans="1:16">
      <c r="A45" s="509" t="s">
        <v>120</v>
      </c>
      <c r="B45" s="448">
        <f t="shared" si="9"/>
        <v>0</v>
      </c>
      <c r="C45" s="510"/>
      <c r="D45" s="511"/>
      <c r="E45" s="523">
        <v>0</v>
      </c>
      <c r="F45" s="527"/>
      <c r="G45" s="511"/>
      <c r="H45" s="525"/>
      <c r="I45" s="509" t="s">
        <v>87</v>
      </c>
      <c r="J45" s="448"/>
      <c r="K45" s="448"/>
      <c r="L45" s="539"/>
      <c r="M45" s="549"/>
      <c r="N45" s="550"/>
      <c r="O45" s="549"/>
      <c r="P45" s="525"/>
    </row>
    <row r="46" s="495" customFormat="true" ht="32" customHeight="true" spans="1:16">
      <c r="A46" s="509" t="s">
        <v>121</v>
      </c>
      <c r="B46" s="448">
        <f t="shared" si="9"/>
        <v>0</v>
      </c>
      <c r="C46" s="510"/>
      <c r="D46" s="511"/>
      <c r="E46" s="515"/>
      <c r="F46" s="527"/>
      <c r="G46" s="515"/>
      <c r="H46" s="525"/>
      <c r="I46" s="509" t="s">
        <v>87</v>
      </c>
      <c r="J46" s="448"/>
      <c r="K46" s="448"/>
      <c r="L46" s="539"/>
      <c r="M46" s="549"/>
      <c r="N46" s="550"/>
      <c r="O46" s="549"/>
      <c r="P46" s="525"/>
    </row>
    <row r="47" s="495" customFormat="true" ht="32" customHeight="true" spans="1:16">
      <c r="A47" s="509" t="s">
        <v>122</v>
      </c>
      <c r="B47" s="448">
        <f t="shared" si="9"/>
        <v>3467</v>
      </c>
      <c r="C47" s="510">
        <v>470</v>
      </c>
      <c r="D47" s="511">
        <v>1182</v>
      </c>
      <c r="E47" s="523">
        <v>600</v>
      </c>
      <c r="F47" s="527">
        <v>384</v>
      </c>
      <c r="G47" s="511">
        <v>136</v>
      </c>
      <c r="H47" s="525">
        <v>695</v>
      </c>
      <c r="I47" s="509" t="s">
        <v>87</v>
      </c>
      <c r="J47" s="448"/>
      <c r="K47" s="448"/>
      <c r="L47" s="539"/>
      <c r="M47" s="549"/>
      <c r="N47" s="550"/>
      <c r="O47" s="549"/>
      <c r="P47" s="525"/>
    </row>
    <row r="48" s="495" customFormat="true" ht="32" customHeight="true" spans="1:16">
      <c r="A48" s="509" t="s">
        <v>123</v>
      </c>
      <c r="B48" s="448">
        <f t="shared" si="9"/>
        <v>0</v>
      </c>
      <c r="C48" s="510"/>
      <c r="D48" s="511"/>
      <c r="E48" s="523"/>
      <c r="F48" s="527"/>
      <c r="G48" s="511"/>
      <c r="H48" s="525"/>
      <c r="I48" s="509" t="s">
        <v>87</v>
      </c>
      <c r="J48" s="448"/>
      <c r="K48" s="540"/>
      <c r="L48" s="539"/>
      <c r="M48" s="551"/>
      <c r="N48" s="550"/>
      <c r="O48" s="551"/>
      <c r="P48" s="525"/>
    </row>
    <row r="49" s="495" customFormat="true" ht="32" customHeight="true" spans="1:16">
      <c r="A49" s="509" t="s">
        <v>124</v>
      </c>
      <c r="B49" s="448">
        <f t="shared" si="9"/>
        <v>0</v>
      </c>
      <c r="C49" s="510"/>
      <c r="D49" s="511"/>
      <c r="E49" s="523"/>
      <c r="F49" s="527"/>
      <c r="G49" s="511"/>
      <c r="H49" s="525"/>
      <c r="I49" s="509"/>
      <c r="J49" s="448"/>
      <c r="K49" s="540"/>
      <c r="L49" s="539"/>
      <c r="M49" s="551"/>
      <c r="N49" s="550"/>
      <c r="O49" s="551"/>
      <c r="P49" s="525"/>
    </row>
    <row r="50" s="495" customFormat="true" ht="32" customHeight="true" spans="1:16">
      <c r="A50" s="509" t="s">
        <v>125</v>
      </c>
      <c r="B50" s="448">
        <f t="shared" si="9"/>
        <v>0</v>
      </c>
      <c r="C50" s="510"/>
      <c r="D50" s="511"/>
      <c r="E50" s="523"/>
      <c r="F50" s="527"/>
      <c r="G50" s="511"/>
      <c r="H50" s="525"/>
      <c r="I50" s="509" t="s">
        <v>87</v>
      </c>
      <c r="J50" s="448"/>
      <c r="K50" s="540"/>
      <c r="L50" s="539"/>
      <c r="M50" s="551"/>
      <c r="N50" s="550"/>
      <c r="O50" s="551"/>
      <c r="P50" s="525"/>
    </row>
    <row r="51" s="495" customFormat="true" ht="32" customHeight="true" spans="1:16">
      <c r="A51" s="509" t="s">
        <v>126</v>
      </c>
      <c r="B51" s="448">
        <f t="shared" si="9"/>
        <v>5249</v>
      </c>
      <c r="C51" s="510"/>
      <c r="D51" s="511">
        <v>256</v>
      </c>
      <c r="E51" s="523">
        <v>500</v>
      </c>
      <c r="F51" s="524"/>
      <c r="G51" s="511">
        <v>2937</v>
      </c>
      <c r="H51" s="525">
        <v>1556</v>
      </c>
      <c r="I51" s="509" t="s">
        <v>87</v>
      </c>
      <c r="J51" s="448"/>
      <c r="K51" s="540"/>
      <c r="L51" s="539"/>
      <c r="M51" s="551"/>
      <c r="N51" s="550"/>
      <c r="O51" s="551"/>
      <c r="P51" s="525"/>
    </row>
    <row r="52" s="495" customFormat="true" ht="32" customHeight="true" spans="1:16">
      <c r="A52" s="504" t="s">
        <v>127</v>
      </c>
      <c r="B52" s="505">
        <f t="shared" si="9"/>
        <v>220226</v>
      </c>
      <c r="C52" s="510">
        <f t="shared" ref="C52:H52" si="10">SUM(C53:C73)</f>
        <v>105120</v>
      </c>
      <c r="D52" s="513">
        <f t="shared" si="10"/>
        <v>25711</v>
      </c>
      <c r="E52" s="513">
        <f t="shared" si="10"/>
        <v>81948</v>
      </c>
      <c r="F52" s="506">
        <f t="shared" si="10"/>
        <v>3481</v>
      </c>
      <c r="G52" s="510">
        <f t="shared" si="10"/>
        <v>1442</v>
      </c>
      <c r="H52" s="510">
        <f t="shared" si="10"/>
        <v>2524</v>
      </c>
      <c r="I52" s="509" t="s">
        <v>87</v>
      </c>
      <c r="J52" s="448"/>
      <c r="K52" s="540"/>
      <c r="L52" s="539"/>
      <c r="M52" s="551"/>
      <c r="N52" s="550"/>
      <c r="O52" s="551"/>
      <c r="P52" s="525"/>
    </row>
    <row r="53" s="495" customFormat="true" ht="32" customHeight="true" spans="1:16">
      <c r="A53" s="509" t="s">
        <v>128</v>
      </c>
      <c r="B53" s="448">
        <f t="shared" si="9"/>
        <v>2438</v>
      </c>
      <c r="C53" s="510">
        <v>353</v>
      </c>
      <c r="D53" s="511">
        <v>219</v>
      </c>
      <c r="E53" s="515">
        <v>1500</v>
      </c>
      <c r="F53" s="527">
        <v>114</v>
      </c>
      <c r="G53" s="515">
        <v>116</v>
      </c>
      <c r="H53" s="525">
        <v>136</v>
      </c>
      <c r="I53" s="509" t="s">
        <v>87</v>
      </c>
      <c r="J53" s="448"/>
      <c r="K53" s="540"/>
      <c r="L53" s="539"/>
      <c r="M53" s="551"/>
      <c r="N53" s="550"/>
      <c r="O53" s="551"/>
      <c r="P53" s="525"/>
    </row>
    <row r="54" s="497" customFormat="true" ht="23.25" customHeight="true" spans="1:16">
      <c r="A54" s="509" t="s">
        <v>129</v>
      </c>
      <c r="B54" s="448">
        <f t="shared" si="9"/>
        <v>0</v>
      </c>
      <c r="C54" s="510"/>
      <c r="D54" s="507"/>
      <c r="E54" s="515"/>
      <c r="F54" s="527"/>
      <c r="G54" s="507"/>
      <c r="H54" s="525"/>
      <c r="I54" s="509"/>
      <c r="J54" s="448"/>
      <c r="K54" s="541"/>
      <c r="L54" s="539"/>
      <c r="M54" s="551"/>
      <c r="N54" s="550"/>
      <c r="O54" s="551"/>
      <c r="P54" s="525"/>
    </row>
    <row r="55" s="495" customFormat="true" ht="23.25" customHeight="true" spans="1:16">
      <c r="A55" s="509" t="s">
        <v>130</v>
      </c>
      <c r="B55" s="448">
        <f t="shared" si="9"/>
        <v>0</v>
      </c>
      <c r="C55" s="510"/>
      <c r="D55" s="507"/>
      <c r="E55" s="515"/>
      <c r="F55" s="531"/>
      <c r="G55" s="507"/>
      <c r="H55" s="525"/>
      <c r="I55" s="509"/>
      <c r="J55" s="448"/>
      <c r="K55" s="505"/>
      <c r="L55" s="538"/>
      <c r="M55" s="546"/>
      <c r="N55" s="548"/>
      <c r="O55" s="546"/>
      <c r="P55" s="525"/>
    </row>
    <row r="56" s="495" customFormat="true" ht="23.25" customHeight="true" spans="1:16">
      <c r="A56" s="509" t="s">
        <v>131</v>
      </c>
      <c r="B56" s="448">
        <f t="shared" si="9"/>
        <v>484</v>
      </c>
      <c r="C56" s="514">
        <v>45</v>
      </c>
      <c r="D56" s="515">
        <v>104</v>
      </c>
      <c r="E56" s="515">
        <v>300</v>
      </c>
      <c r="F56" s="531"/>
      <c r="G56" s="507"/>
      <c r="H56" s="525">
        <v>35</v>
      </c>
      <c r="I56" s="509"/>
      <c r="J56" s="448"/>
      <c r="K56" s="448"/>
      <c r="L56" s="539"/>
      <c r="M56" s="549"/>
      <c r="N56" s="550"/>
      <c r="O56" s="549"/>
      <c r="P56" s="525"/>
    </row>
    <row r="57" s="497" customFormat="true" ht="23.25" customHeight="true" spans="1:16">
      <c r="A57" s="509" t="s">
        <v>132</v>
      </c>
      <c r="B57" s="448">
        <f t="shared" si="9"/>
        <v>2700</v>
      </c>
      <c r="C57" s="506"/>
      <c r="D57" s="507"/>
      <c r="E57" s="515">
        <v>2700</v>
      </c>
      <c r="F57" s="531"/>
      <c r="G57" s="507"/>
      <c r="H57" s="525"/>
      <c r="I57" s="509"/>
      <c r="J57" s="448"/>
      <c r="K57" s="537"/>
      <c r="L57" s="542"/>
      <c r="M57" s="542"/>
      <c r="N57" s="537"/>
      <c r="O57" s="542"/>
      <c r="P57" s="525"/>
    </row>
    <row r="58" s="497" customFormat="true" ht="23.25" customHeight="true" spans="1:16">
      <c r="A58" s="509" t="s">
        <v>133</v>
      </c>
      <c r="B58" s="448">
        <f t="shared" si="9"/>
        <v>0</v>
      </c>
      <c r="C58" s="516"/>
      <c r="D58" s="507"/>
      <c r="E58" s="515"/>
      <c r="F58" s="531"/>
      <c r="G58" s="507"/>
      <c r="H58" s="525"/>
      <c r="I58" s="509"/>
      <c r="J58" s="448"/>
      <c r="K58" s="537"/>
      <c r="L58" s="543"/>
      <c r="M58" s="542"/>
      <c r="N58" s="537"/>
      <c r="O58" s="542"/>
      <c r="P58" s="525"/>
    </row>
    <row r="59" s="495" customFormat="true" ht="20.1" customHeight="true" spans="1:16">
      <c r="A59" s="509" t="s">
        <v>134</v>
      </c>
      <c r="B59" s="448">
        <f t="shared" si="9"/>
        <v>9803</v>
      </c>
      <c r="C59" s="514">
        <v>1303</v>
      </c>
      <c r="D59" s="517"/>
      <c r="E59" s="515">
        <v>8500</v>
      </c>
      <c r="F59" s="531"/>
      <c r="G59" s="507"/>
      <c r="H59" s="532"/>
      <c r="I59" s="509"/>
      <c r="J59" s="448"/>
      <c r="K59" s="544"/>
      <c r="L59" s="543"/>
      <c r="M59" s="543"/>
      <c r="N59" s="544"/>
      <c r="O59" s="543"/>
      <c r="P59" s="544"/>
    </row>
    <row r="60" s="495" customFormat="true" ht="20.1" customHeight="true" spans="1:16">
      <c r="A60" s="509" t="s">
        <v>135</v>
      </c>
      <c r="B60" s="448">
        <f t="shared" si="9"/>
        <v>3662</v>
      </c>
      <c r="C60" s="514">
        <v>2162</v>
      </c>
      <c r="D60" s="518"/>
      <c r="E60" s="515">
        <v>1500</v>
      </c>
      <c r="F60" s="533"/>
      <c r="G60" s="518"/>
      <c r="H60" s="533"/>
      <c r="I60" s="509"/>
      <c r="J60" s="448"/>
      <c r="K60" s="533"/>
      <c r="L60" s="518"/>
      <c r="M60" s="518"/>
      <c r="N60" s="533"/>
      <c r="O60" s="518"/>
      <c r="P60" s="533"/>
    </row>
    <row r="61" s="495" customFormat="true" ht="20.1" customHeight="true" spans="1:16">
      <c r="A61" s="509" t="s">
        <v>136</v>
      </c>
      <c r="B61" s="448">
        <f t="shared" si="9"/>
        <v>1200</v>
      </c>
      <c r="C61" s="506"/>
      <c r="D61" s="518"/>
      <c r="E61" s="515">
        <v>1200</v>
      </c>
      <c r="F61" s="533"/>
      <c r="G61" s="518"/>
      <c r="H61" s="533"/>
      <c r="I61" s="509"/>
      <c r="J61" s="448"/>
      <c r="K61" s="533"/>
      <c r="L61" s="518"/>
      <c r="M61" s="518"/>
      <c r="N61" s="533"/>
      <c r="O61" s="518"/>
      <c r="P61" s="533"/>
    </row>
    <row r="62" s="495" customFormat="true" ht="20.1" customHeight="true" spans="1:16">
      <c r="A62" s="509" t="s">
        <v>137</v>
      </c>
      <c r="B62" s="448">
        <f t="shared" si="9"/>
        <v>13467</v>
      </c>
      <c r="C62" s="519"/>
      <c r="D62" s="518"/>
      <c r="E62" s="515">
        <v>13000</v>
      </c>
      <c r="F62" s="533">
        <f>147+320</f>
        <v>467</v>
      </c>
      <c r="G62" s="518"/>
      <c r="H62" s="533"/>
      <c r="I62" s="509"/>
      <c r="J62" s="448"/>
      <c r="K62" s="533"/>
      <c r="L62" s="518"/>
      <c r="M62" s="518"/>
      <c r="N62" s="533"/>
      <c r="O62" s="518"/>
      <c r="P62" s="533"/>
    </row>
    <row r="63" s="495" customFormat="true" ht="20.1" customHeight="true" spans="1:16">
      <c r="A63" s="509" t="s">
        <v>138</v>
      </c>
      <c r="B63" s="448">
        <f t="shared" si="9"/>
        <v>4000</v>
      </c>
      <c r="C63" s="519"/>
      <c r="D63" s="518"/>
      <c r="E63" s="515">
        <v>4000</v>
      </c>
      <c r="F63" s="533"/>
      <c r="G63" s="518"/>
      <c r="H63" s="533"/>
      <c r="I63" s="509"/>
      <c r="J63" s="448"/>
      <c r="K63" s="533"/>
      <c r="L63" s="518"/>
      <c r="M63" s="518"/>
      <c r="N63" s="533"/>
      <c r="O63" s="518"/>
      <c r="P63" s="533"/>
    </row>
    <row r="64" s="495" customFormat="true" ht="20.1" customHeight="true" spans="1:16">
      <c r="A64" s="509" t="s">
        <v>139</v>
      </c>
      <c r="B64" s="448">
        <f t="shared" si="9"/>
        <v>54538</v>
      </c>
      <c r="C64" s="519">
        <v>1125</v>
      </c>
      <c r="D64" s="518">
        <v>3008</v>
      </c>
      <c r="E64" s="515">
        <v>45000</v>
      </c>
      <c r="F64" s="533">
        <v>2658</v>
      </c>
      <c r="G64" s="518">
        <v>1124</v>
      </c>
      <c r="H64" s="533">
        <v>1623</v>
      </c>
      <c r="I64" s="509"/>
      <c r="J64" s="448"/>
      <c r="K64" s="533"/>
      <c r="L64" s="518"/>
      <c r="M64" s="518"/>
      <c r="N64" s="533"/>
      <c r="O64" s="518"/>
      <c r="P64" s="533"/>
    </row>
    <row r="65" s="495" customFormat="true" ht="20.1" customHeight="true" spans="1:16">
      <c r="A65" s="509" t="s">
        <v>140</v>
      </c>
      <c r="B65" s="448">
        <f t="shared" si="9"/>
        <v>800</v>
      </c>
      <c r="C65" s="519"/>
      <c r="D65" s="518"/>
      <c r="E65" s="515">
        <v>800</v>
      </c>
      <c r="F65" s="533"/>
      <c r="G65" s="518"/>
      <c r="H65" s="533"/>
      <c r="I65" s="509"/>
      <c r="J65" s="448"/>
      <c r="K65" s="533"/>
      <c r="L65" s="518"/>
      <c r="M65" s="518"/>
      <c r="N65" s="533"/>
      <c r="O65" s="518"/>
      <c r="P65" s="533"/>
    </row>
    <row r="66" s="495" customFormat="true" ht="20.1" customHeight="true" spans="1:16">
      <c r="A66" s="509" t="s">
        <v>141</v>
      </c>
      <c r="B66" s="448">
        <f t="shared" si="9"/>
        <v>1500</v>
      </c>
      <c r="C66" s="519"/>
      <c r="D66" s="518"/>
      <c r="E66" s="515">
        <v>1500</v>
      </c>
      <c r="F66" s="533"/>
      <c r="G66" s="518"/>
      <c r="H66" s="533"/>
      <c r="I66" s="509"/>
      <c r="J66" s="448"/>
      <c r="K66" s="533"/>
      <c r="L66" s="518"/>
      <c r="M66" s="518"/>
      <c r="N66" s="533"/>
      <c r="O66" s="518"/>
      <c r="P66" s="533"/>
    </row>
    <row r="67" s="495" customFormat="true" ht="20.1" customHeight="true" spans="1:16">
      <c r="A67" s="509" t="s">
        <v>142</v>
      </c>
      <c r="B67" s="448">
        <f t="shared" si="9"/>
        <v>1362</v>
      </c>
      <c r="C67" s="519">
        <v>132</v>
      </c>
      <c r="D67" s="518"/>
      <c r="E67" s="515">
        <v>500</v>
      </c>
      <c r="F67" s="533"/>
      <c r="G67" s="518"/>
      <c r="H67" s="533">
        <v>730</v>
      </c>
      <c r="I67" s="509"/>
      <c r="J67" s="448"/>
      <c r="K67" s="533"/>
      <c r="L67" s="518"/>
      <c r="M67" s="518"/>
      <c r="N67" s="533"/>
      <c r="O67" s="518"/>
      <c r="P67" s="533"/>
    </row>
    <row r="68" s="495" customFormat="true" ht="20.1" customHeight="true" spans="1:16">
      <c r="A68" s="509" t="s">
        <v>143</v>
      </c>
      <c r="B68" s="448">
        <f t="shared" si="9"/>
        <v>0</v>
      </c>
      <c r="C68" s="519"/>
      <c r="D68" s="518"/>
      <c r="E68" s="515"/>
      <c r="F68" s="533"/>
      <c r="G68" s="518"/>
      <c r="H68" s="533"/>
      <c r="I68" s="509"/>
      <c r="J68" s="448"/>
      <c r="K68" s="533"/>
      <c r="L68" s="518"/>
      <c r="M68" s="518"/>
      <c r="N68" s="533"/>
      <c r="O68" s="518"/>
      <c r="P68" s="533"/>
    </row>
    <row r="69" s="495" customFormat="true" ht="20.1" customHeight="true" spans="1:16">
      <c r="A69" s="509" t="s">
        <v>144</v>
      </c>
      <c r="B69" s="448">
        <f t="shared" si="9"/>
        <v>123580</v>
      </c>
      <c r="C69" s="519">
        <v>100000</v>
      </c>
      <c r="D69" s="552">
        <v>22380</v>
      </c>
      <c r="E69" s="515">
        <v>1200</v>
      </c>
      <c r="F69" s="533"/>
      <c r="G69" s="518"/>
      <c r="H69" s="533"/>
      <c r="I69" s="509"/>
      <c r="J69" s="448"/>
      <c r="K69" s="533"/>
      <c r="L69" s="518"/>
      <c r="M69" s="518"/>
      <c r="N69" s="533"/>
      <c r="O69" s="518"/>
      <c r="P69" s="533"/>
    </row>
    <row r="70" s="495" customFormat="true" ht="20.1" customHeight="true" spans="1:16">
      <c r="A70" s="509" t="s">
        <v>145</v>
      </c>
      <c r="B70" s="448">
        <f t="shared" si="9"/>
        <v>0</v>
      </c>
      <c r="C70" s="519"/>
      <c r="D70" s="518"/>
      <c r="E70" s="515"/>
      <c r="F70" s="533"/>
      <c r="G70" s="518"/>
      <c r="H70" s="533"/>
      <c r="I70" s="509"/>
      <c r="J70" s="448"/>
      <c r="K70" s="533"/>
      <c r="L70" s="518"/>
      <c r="M70" s="518"/>
      <c r="N70" s="533"/>
      <c r="O70" s="518"/>
      <c r="P70" s="533"/>
    </row>
    <row r="71" s="495" customFormat="true" ht="20.1" customHeight="true" spans="1:16">
      <c r="A71" s="509" t="s">
        <v>146</v>
      </c>
      <c r="B71" s="448">
        <f t="shared" si="9"/>
        <v>0</v>
      </c>
      <c r="C71" s="519"/>
      <c r="D71" s="518"/>
      <c r="E71" s="515"/>
      <c r="F71" s="533"/>
      <c r="G71" s="518"/>
      <c r="H71" s="533"/>
      <c r="I71" s="509"/>
      <c r="J71" s="448"/>
      <c r="K71" s="533"/>
      <c r="L71" s="518"/>
      <c r="M71" s="518"/>
      <c r="N71" s="533"/>
      <c r="O71" s="518"/>
      <c r="P71" s="533"/>
    </row>
    <row r="72" s="495" customFormat="true" ht="20.1" customHeight="true" spans="1:16">
      <c r="A72" s="509" t="s">
        <v>147</v>
      </c>
      <c r="B72" s="448">
        <f t="shared" si="9"/>
        <v>692</v>
      </c>
      <c r="C72" s="519"/>
      <c r="D72" s="518"/>
      <c r="E72" s="515">
        <v>248</v>
      </c>
      <c r="F72" s="533">
        <v>242</v>
      </c>
      <c r="G72" s="518">
        <v>202</v>
      </c>
      <c r="H72" s="533"/>
      <c r="I72" s="509"/>
      <c r="J72" s="448"/>
      <c r="K72" s="533"/>
      <c r="L72" s="518"/>
      <c r="M72" s="518"/>
      <c r="N72" s="533"/>
      <c r="O72" s="518"/>
      <c r="P72" s="533"/>
    </row>
    <row r="73" s="495" customFormat="true" ht="20.1" customHeight="true" spans="1:16">
      <c r="A73" s="509" t="s">
        <v>148</v>
      </c>
      <c r="B73" s="448">
        <f t="shared" si="9"/>
        <v>0</v>
      </c>
      <c r="C73" s="519"/>
      <c r="D73" s="518"/>
      <c r="E73" s="515"/>
      <c r="F73" s="533"/>
      <c r="G73" s="518"/>
      <c r="H73" s="533"/>
      <c r="I73" s="509"/>
      <c r="J73" s="448"/>
      <c r="K73" s="533"/>
      <c r="L73" s="518"/>
      <c r="M73" s="518"/>
      <c r="N73" s="533"/>
      <c r="O73" s="518"/>
      <c r="P73" s="533"/>
    </row>
    <row r="74" s="495" customFormat="true" ht="20.1" customHeight="true" spans="1:16">
      <c r="A74" s="504" t="s">
        <v>149</v>
      </c>
      <c r="B74" s="448">
        <f t="shared" si="9"/>
        <v>80</v>
      </c>
      <c r="C74" s="519">
        <f t="shared" ref="C74:F74" si="11">C75+C76</f>
        <v>0</v>
      </c>
      <c r="D74" s="553">
        <f t="shared" si="11"/>
        <v>0</v>
      </c>
      <c r="E74" s="553">
        <f t="shared" si="11"/>
        <v>0</v>
      </c>
      <c r="F74" s="519">
        <f t="shared" si="11"/>
        <v>80</v>
      </c>
      <c r="G74" s="553"/>
      <c r="H74" s="519">
        <f>H75+H76</f>
        <v>0</v>
      </c>
      <c r="I74" s="509"/>
      <c r="J74" s="448"/>
      <c r="K74" s="533"/>
      <c r="L74" s="518"/>
      <c r="M74" s="518"/>
      <c r="N74" s="533"/>
      <c r="O74" s="518"/>
      <c r="P74" s="533"/>
    </row>
    <row r="75" s="495" customFormat="true" ht="20.1" customHeight="true" spans="1:16">
      <c r="A75" s="509" t="s">
        <v>150</v>
      </c>
      <c r="B75" s="448">
        <f t="shared" si="9"/>
        <v>0</v>
      </c>
      <c r="C75" s="519"/>
      <c r="D75" s="518"/>
      <c r="E75" s="518"/>
      <c r="F75" s="533"/>
      <c r="G75" s="518"/>
      <c r="H75" s="533"/>
      <c r="I75" s="509"/>
      <c r="J75" s="448"/>
      <c r="K75" s="533"/>
      <c r="L75" s="518"/>
      <c r="M75" s="518"/>
      <c r="N75" s="533"/>
      <c r="O75" s="518"/>
      <c r="P75" s="533"/>
    </row>
    <row r="76" s="495" customFormat="true" ht="20.1" customHeight="true" spans="1:16">
      <c r="A76" s="509" t="s">
        <v>151</v>
      </c>
      <c r="B76" s="448">
        <f t="shared" si="9"/>
        <v>80</v>
      </c>
      <c r="C76" s="519"/>
      <c r="D76" s="518"/>
      <c r="E76" s="518"/>
      <c r="F76" s="533">
        <v>80</v>
      </c>
      <c r="G76" s="518"/>
      <c r="H76" s="533"/>
      <c r="I76" s="509"/>
      <c r="J76" s="448"/>
      <c r="K76" s="533"/>
      <c r="L76" s="518"/>
      <c r="M76" s="518"/>
      <c r="N76" s="533"/>
      <c r="O76" s="518"/>
      <c r="P76" s="533"/>
    </row>
    <row r="77" s="495" customFormat="true" ht="20.1" customHeight="true" spans="1:16">
      <c r="A77" s="504" t="s">
        <v>152</v>
      </c>
      <c r="B77" s="505">
        <f t="shared" ref="B77:B84" si="12">C77+D77+E77+F77+G77+H77</f>
        <v>342376</v>
      </c>
      <c r="C77" s="519">
        <v>75030</v>
      </c>
      <c r="D77" s="552">
        <v>72932</v>
      </c>
      <c r="E77" s="518">
        <v>36683</v>
      </c>
      <c r="F77" s="533">
        <v>31374</v>
      </c>
      <c r="G77" s="518">
        <f>52578+1586</f>
        <v>54164</v>
      </c>
      <c r="H77" s="533">
        <v>72193</v>
      </c>
      <c r="I77" s="509"/>
      <c r="J77" s="448"/>
      <c r="K77" s="533"/>
      <c r="L77" s="518"/>
      <c r="M77" s="518"/>
      <c r="N77" s="533"/>
      <c r="O77" s="518"/>
      <c r="P77" s="533"/>
    </row>
    <row r="78" s="495" customFormat="true" ht="20.1" customHeight="true" spans="1:16">
      <c r="A78" s="504" t="s">
        <v>153</v>
      </c>
      <c r="B78" s="505">
        <f t="shared" si="12"/>
        <v>235</v>
      </c>
      <c r="C78" s="519">
        <f t="shared" ref="C78:F78" si="13">C79+C80+C81</f>
        <v>235</v>
      </c>
      <c r="D78" s="553">
        <f t="shared" si="13"/>
        <v>0</v>
      </c>
      <c r="E78" s="553">
        <f t="shared" si="13"/>
        <v>0</v>
      </c>
      <c r="F78" s="519">
        <f t="shared" si="13"/>
        <v>0</v>
      </c>
      <c r="G78" s="553"/>
      <c r="H78" s="519">
        <f>H79+H80+H81</f>
        <v>0</v>
      </c>
      <c r="I78" s="504" t="s">
        <v>154</v>
      </c>
      <c r="J78" s="505">
        <f t="shared" ref="J78:J85" si="14">K78+L78+M78+N78+O78+P78</f>
        <v>0</v>
      </c>
      <c r="K78" s="533"/>
      <c r="L78" s="518"/>
      <c r="M78" s="518"/>
      <c r="N78" s="533"/>
      <c r="O78" s="518"/>
      <c r="P78" s="533"/>
    </row>
    <row r="79" s="495" customFormat="true" ht="20.1" customHeight="true" spans="1:16">
      <c r="A79" s="509" t="s">
        <v>155</v>
      </c>
      <c r="B79" s="448">
        <f t="shared" si="12"/>
        <v>0</v>
      </c>
      <c r="C79" s="519"/>
      <c r="D79" s="518"/>
      <c r="E79" s="518"/>
      <c r="F79" s="533"/>
      <c r="G79" s="518"/>
      <c r="H79" s="533"/>
      <c r="I79" s="504" t="s">
        <v>156</v>
      </c>
      <c r="J79" s="505">
        <f t="shared" si="14"/>
        <v>0</v>
      </c>
      <c r="K79" s="533"/>
      <c r="L79" s="518"/>
      <c r="M79" s="518"/>
      <c r="N79" s="533"/>
      <c r="O79" s="518"/>
      <c r="P79" s="533"/>
    </row>
    <row r="80" s="495" customFormat="true" ht="20.1" customHeight="true" spans="1:16">
      <c r="A80" s="509" t="s">
        <v>157</v>
      </c>
      <c r="B80" s="448">
        <f t="shared" si="12"/>
        <v>235</v>
      </c>
      <c r="C80" s="519">
        <v>235</v>
      </c>
      <c r="D80" s="518"/>
      <c r="E80" s="518"/>
      <c r="F80" s="533"/>
      <c r="G80" s="518"/>
      <c r="H80" s="533"/>
      <c r="I80" s="504" t="s">
        <v>158</v>
      </c>
      <c r="J80" s="505">
        <f t="shared" si="14"/>
        <v>0</v>
      </c>
      <c r="K80" s="533"/>
      <c r="L80" s="518"/>
      <c r="M80" s="518"/>
      <c r="N80" s="533"/>
      <c r="O80" s="518"/>
      <c r="P80" s="533"/>
    </row>
    <row r="81" s="495" customFormat="true" ht="20.1" customHeight="true" spans="1:16">
      <c r="A81" s="509" t="s">
        <v>159</v>
      </c>
      <c r="B81" s="448">
        <f t="shared" si="12"/>
        <v>0</v>
      </c>
      <c r="C81" s="519"/>
      <c r="D81" s="518"/>
      <c r="E81" s="518"/>
      <c r="F81" s="533"/>
      <c r="G81" s="518"/>
      <c r="H81" s="533"/>
      <c r="I81" s="504" t="s">
        <v>160</v>
      </c>
      <c r="J81" s="505">
        <f t="shared" si="14"/>
        <v>0</v>
      </c>
      <c r="K81" s="533"/>
      <c r="L81" s="518"/>
      <c r="M81" s="518"/>
      <c r="N81" s="533"/>
      <c r="O81" s="518"/>
      <c r="P81" s="533"/>
    </row>
    <row r="82" s="495" customFormat="true" ht="20.1" customHeight="true" spans="1:16">
      <c r="A82" s="504" t="s">
        <v>161</v>
      </c>
      <c r="B82" s="505">
        <f t="shared" si="12"/>
        <v>0</v>
      </c>
      <c r="C82" s="519"/>
      <c r="D82" s="518"/>
      <c r="E82" s="518"/>
      <c r="F82" s="533"/>
      <c r="G82" s="518"/>
      <c r="H82" s="533"/>
      <c r="I82" s="504" t="s">
        <v>162</v>
      </c>
      <c r="J82" s="505">
        <f t="shared" si="14"/>
        <v>119779</v>
      </c>
      <c r="K82" s="533">
        <f>29000+1443</f>
        <v>30443</v>
      </c>
      <c r="L82" s="518">
        <v>1201</v>
      </c>
      <c r="M82" s="518">
        <v>49728</v>
      </c>
      <c r="N82" s="533">
        <f>19350+319-12</f>
        <v>19657</v>
      </c>
      <c r="O82" s="518">
        <v>6203</v>
      </c>
      <c r="P82" s="533">
        <v>12547</v>
      </c>
    </row>
    <row r="83" s="495" customFormat="true" ht="20.1" customHeight="true" spans="1:16">
      <c r="A83" s="504" t="s">
        <v>163</v>
      </c>
      <c r="B83" s="505">
        <f t="shared" si="12"/>
        <v>88200</v>
      </c>
      <c r="C83" s="519">
        <v>29000</v>
      </c>
      <c r="D83" s="518"/>
      <c r="E83" s="518">
        <v>25300</v>
      </c>
      <c r="F83" s="533">
        <v>17300</v>
      </c>
      <c r="G83" s="518">
        <v>5400</v>
      </c>
      <c r="H83" s="533">
        <v>11200</v>
      </c>
      <c r="I83" s="504" t="s">
        <v>164</v>
      </c>
      <c r="J83" s="505">
        <f t="shared" si="14"/>
        <v>0</v>
      </c>
      <c r="K83" s="533"/>
      <c r="L83" s="518"/>
      <c r="M83" s="518"/>
      <c r="N83" s="533"/>
      <c r="O83" s="518"/>
      <c r="P83" s="533"/>
    </row>
    <row r="84" s="495" customFormat="true" ht="20.1" customHeight="true" spans="1:16">
      <c r="A84" s="504" t="s">
        <v>165</v>
      </c>
      <c r="B84" s="505">
        <f t="shared" si="12"/>
        <v>0</v>
      </c>
      <c r="C84" s="519"/>
      <c r="D84" s="518"/>
      <c r="E84" s="518"/>
      <c r="F84" s="533"/>
      <c r="G84" s="518"/>
      <c r="H84" s="533"/>
      <c r="I84" s="504"/>
      <c r="J84" s="448">
        <f t="shared" si="14"/>
        <v>0</v>
      </c>
      <c r="K84" s="533"/>
      <c r="L84" s="518"/>
      <c r="M84" s="518"/>
      <c r="N84" s="533"/>
      <c r="O84" s="518"/>
      <c r="P84" s="533"/>
    </row>
    <row r="85" s="495" customFormat="true" ht="20.1" customHeight="true" spans="1:16">
      <c r="A85" s="554" t="s">
        <v>67</v>
      </c>
      <c r="B85" s="505">
        <f t="shared" ref="B85:H85" si="15">B6+B7</f>
        <v>2499285.4</v>
      </c>
      <c r="C85" s="519">
        <f t="shared" si="15"/>
        <v>534966</v>
      </c>
      <c r="D85" s="553">
        <f t="shared" si="15"/>
        <v>412424</v>
      </c>
      <c r="E85" s="553">
        <f t="shared" si="15"/>
        <v>724806</v>
      </c>
      <c r="F85" s="555">
        <f t="shared" si="15"/>
        <v>246644.4</v>
      </c>
      <c r="G85" s="519">
        <f t="shared" si="15"/>
        <v>200890</v>
      </c>
      <c r="H85" s="519">
        <f t="shared" si="15"/>
        <v>379555</v>
      </c>
      <c r="I85" s="554" t="s">
        <v>68</v>
      </c>
      <c r="J85" s="505">
        <f t="shared" si="14"/>
        <v>2499285</v>
      </c>
      <c r="K85" s="533">
        <f t="shared" ref="K85:P85" si="16">K6+K7</f>
        <v>534966</v>
      </c>
      <c r="L85" s="533">
        <f t="shared" si="16"/>
        <v>412424</v>
      </c>
      <c r="M85" s="518">
        <f t="shared" si="16"/>
        <v>724806</v>
      </c>
      <c r="N85" s="533">
        <f t="shared" si="16"/>
        <v>246644</v>
      </c>
      <c r="O85" s="533">
        <f t="shared" si="16"/>
        <v>200890</v>
      </c>
      <c r="P85" s="533">
        <f t="shared" si="16"/>
        <v>379555</v>
      </c>
    </row>
    <row r="86" s="495" customFormat="true" ht="20.1" customHeight="true" spans="2:3">
      <c r="B86" s="498"/>
      <c r="C86" s="498"/>
    </row>
    <row r="87" s="495" customFormat="true" ht="20.1" customHeight="true" spans="2:3">
      <c r="B87" s="498"/>
      <c r="C87" s="498"/>
    </row>
    <row r="88" s="495" customFormat="true" ht="20.1" customHeight="true" spans="2:3">
      <c r="B88" s="498"/>
      <c r="C88" s="498"/>
    </row>
    <row r="89" s="495" customFormat="true" ht="20.1" customHeight="true" spans="2:3">
      <c r="B89" s="498"/>
      <c r="C89" s="498"/>
    </row>
    <row r="90" s="495" customFormat="true" ht="20.1" customHeight="true" spans="2:3">
      <c r="B90" s="498"/>
      <c r="C90" s="498"/>
    </row>
    <row r="91" s="495" customFormat="true" ht="20.1" customHeight="true" spans="2:3">
      <c r="B91" s="498"/>
      <c r="C91" s="498"/>
    </row>
    <row r="92" s="495" customFormat="true" ht="20.1" customHeight="true" spans="2:3">
      <c r="B92" s="498"/>
      <c r="C92" s="498"/>
    </row>
    <row r="93" s="495" customFormat="true" ht="20.1" customHeight="true" spans="2:3">
      <c r="B93" s="498"/>
      <c r="C93" s="498"/>
    </row>
    <row r="94" s="495" customFormat="true" ht="20.1" customHeight="true" spans="2:3">
      <c r="B94" s="498"/>
      <c r="C94" s="498"/>
    </row>
    <row r="95" s="495" customFormat="true" ht="20.1" customHeight="true" spans="2:3">
      <c r="B95" s="498"/>
      <c r="C95" s="498"/>
    </row>
    <row r="96" s="495" customFormat="true" ht="20.1" customHeight="true" spans="2:3">
      <c r="B96" s="498"/>
      <c r="C96" s="498"/>
    </row>
    <row r="97" s="495" customFormat="true" ht="20.1" customHeight="true" spans="2:3">
      <c r="B97" s="498"/>
      <c r="C97" s="498"/>
    </row>
    <row r="98" s="495" customFormat="true" ht="20.1" customHeight="true" spans="2:3">
      <c r="B98" s="498"/>
      <c r="C98" s="498"/>
    </row>
    <row r="99" s="495" customFormat="true" ht="20.1" customHeight="true" spans="2:3">
      <c r="B99" s="498"/>
      <c r="C99" s="498"/>
    </row>
    <row r="100" s="495" customFormat="true" ht="20.1" customHeight="true" spans="2:3">
      <c r="B100" s="498"/>
      <c r="C100" s="498"/>
    </row>
    <row r="101" s="495" customFormat="true" ht="20.1" customHeight="true" spans="2:3">
      <c r="B101" s="498"/>
      <c r="C101" s="498"/>
    </row>
    <row r="102" s="495" customFormat="true" ht="20.1" customHeight="true" spans="2:3">
      <c r="B102" s="498"/>
      <c r="C102" s="498"/>
    </row>
    <row r="103" s="495" customFormat="true" ht="20.1" customHeight="true" spans="2:3">
      <c r="B103" s="498"/>
      <c r="C103" s="498"/>
    </row>
    <row r="104" s="495" customFormat="true" ht="20.1" customHeight="true" spans="2:3">
      <c r="B104" s="498"/>
      <c r="C104" s="498"/>
    </row>
    <row r="105" s="495" customFormat="true" ht="20.1" customHeight="true" spans="2:3">
      <c r="B105" s="498"/>
      <c r="C105" s="498"/>
    </row>
    <row r="106" s="495" customFormat="true" ht="20.1" customHeight="true" spans="2:3">
      <c r="B106" s="498"/>
      <c r="C106" s="498"/>
    </row>
    <row r="107" s="495" customFormat="true" ht="20.1" customHeight="true" spans="2:3">
      <c r="B107" s="498"/>
      <c r="C107" s="498"/>
    </row>
    <row r="108" s="495" customFormat="true" ht="20.1" customHeight="true" spans="2:3">
      <c r="B108" s="498"/>
      <c r="C108" s="498"/>
    </row>
    <row r="109" s="495" customFormat="true" ht="20.1" customHeight="true" spans="2:3">
      <c r="B109" s="498"/>
      <c r="C109" s="498"/>
    </row>
    <row r="110" s="495" customFormat="true" ht="20.1" customHeight="true" spans="2:3">
      <c r="B110" s="498"/>
      <c r="C110" s="498"/>
    </row>
    <row r="111" s="495" customFormat="true" ht="20.1" customHeight="true" spans="2:3">
      <c r="B111" s="498"/>
      <c r="C111" s="498"/>
    </row>
    <row r="112" s="495" customFormat="true" ht="20.1" customHeight="true" spans="2:3">
      <c r="B112" s="498"/>
      <c r="C112" s="498"/>
    </row>
    <row r="113" s="495" customFormat="true" ht="20.1" customHeight="true" spans="2:3">
      <c r="B113" s="498"/>
      <c r="C113" s="498"/>
    </row>
    <row r="114" s="495" customFormat="true" ht="20.1" customHeight="true" spans="2:3">
      <c r="B114" s="498"/>
      <c r="C114" s="498"/>
    </row>
    <row r="115" s="495" customFormat="true" ht="20.1" customHeight="true" spans="2:3">
      <c r="B115" s="498"/>
      <c r="C115" s="498"/>
    </row>
    <row r="116" s="495" customFormat="true" ht="20.1" customHeight="true" spans="2:3">
      <c r="B116" s="498"/>
      <c r="C116" s="498"/>
    </row>
    <row r="117" s="495" customFormat="true" ht="20.1" customHeight="true" spans="2:3">
      <c r="B117" s="498"/>
      <c r="C117" s="498"/>
    </row>
    <row r="118" s="495" customFormat="true" ht="20.1" customHeight="true" spans="2:3">
      <c r="B118" s="498"/>
      <c r="C118" s="498"/>
    </row>
    <row r="119" s="495" customFormat="true" ht="20.1" customHeight="true" spans="2:3">
      <c r="B119" s="498"/>
      <c r="C119" s="498"/>
    </row>
    <row r="120" s="495" customFormat="true" ht="20.1" customHeight="true" spans="2:3">
      <c r="B120" s="498"/>
      <c r="C120" s="498"/>
    </row>
    <row r="121" s="495" customFormat="true" ht="20.1" customHeight="true" spans="2:3">
      <c r="B121" s="498"/>
      <c r="C121" s="498"/>
    </row>
    <row r="122" s="497" customFormat="true" ht="20.1" customHeight="true" spans="1:11">
      <c r="A122" s="495"/>
      <c r="B122" s="498"/>
      <c r="C122" s="498"/>
      <c r="D122" s="495"/>
      <c r="E122" s="495"/>
      <c r="F122" s="495"/>
      <c r="G122" s="495"/>
      <c r="H122" s="495"/>
      <c r="I122" s="495"/>
      <c r="J122" s="495"/>
      <c r="K122" s="495"/>
    </row>
    <row r="123" s="495" customFormat="true" ht="20.1" customHeight="true" spans="2:3">
      <c r="B123" s="498"/>
      <c r="C123" s="498"/>
    </row>
    <row r="124" s="495" customFormat="true" ht="20.1" customHeight="true" spans="2:3">
      <c r="B124" s="498"/>
      <c r="C124" s="498"/>
    </row>
    <row r="125" s="495" customFormat="true" ht="20.1" customHeight="true" spans="2:3">
      <c r="B125" s="498"/>
      <c r="C125" s="498"/>
    </row>
    <row r="126" s="495" customFormat="true" ht="20.1" customHeight="true" spans="2:3">
      <c r="B126" s="498"/>
      <c r="C126" s="498"/>
    </row>
    <row r="127" s="495" customFormat="true" ht="20.1" customHeight="true" spans="2:3">
      <c r="B127" s="498"/>
      <c r="C127" s="498"/>
    </row>
    <row r="128" s="495" customFormat="true" ht="20.1" customHeight="true" spans="2:3">
      <c r="B128" s="498"/>
      <c r="C128" s="498"/>
    </row>
    <row r="129" s="495" customFormat="true" ht="20.1" customHeight="true" spans="2:3">
      <c r="B129" s="498"/>
      <c r="C129" s="498"/>
    </row>
    <row r="130" s="495" customFormat="true" ht="20.1" customHeight="true" spans="2:3">
      <c r="B130" s="498"/>
      <c r="C130" s="498"/>
    </row>
    <row r="131" s="495" customFormat="true" ht="20.1" customHeight="true" spans="2:3">
      <c r="B131" s="498"/>
      <c r="C131" s="498"/>
    </row>
    <row r="132" s="495" customFormat="true" ht="20.1" customHeight="true" spans="2:3">
      <c r="B132" s="498"/>
      <c r="C132" s="498"/>
    </row>
    <row r="133" s="495" customFormat="true" ht="20.1" customHeight="true" spans="2:3">
      <c r="B133" s="498"/>
      <c r="C133" s="498"/>
    </row>
    <row r="134" s="495" customFormat="true" ht="20.1" customHeight="true" spans="2:3">
      <c r="B134" s="498"/>
      <c r="C134" s="498"/>
    </row>
    <row r="135" s="495" customFormat="true" ht="20.1" customHeight="true" spans="2:3">
      <c r="B135" s="498"/>
      <c r="C135" s="498"/>
    </row>
    <row r="136" s="495" customFormat="true" ht="20.1" customHeight="true" spans="2:3">
      <c r="B136" s="498"/>
      <c r="C136" s="498"/>
    </row>
    <row r="137" s="495" customFormat="true" ht="20.1" customHeight="true" spans="2:3">
      <c r="B137" s="498"/>
      <c r="C137" s="498"/>
    </row>
    <row r="138" s="495" customFormat="true" ht="20.1" customHeight="true" spans="2:3">
      <c r="B138" s="498"/>
      <c r="C138" s="498"/>
    </row>
    <row r="139" s="495" customFormat="true" ht="20.1" customHeight="true" spans="2:3">
      <c r="B139" s="498"/>
      <c r="C139" s="498"/>
    </row>
    <row r="140" s="495" customFormat="true" ht="20.1" customHeight="true" spans="2:3">
      <c r="B140" s="498"/>
      <c r="C140" s="498"/>
    </row>
    <row r="141" s="495" customFormat="true" ht="20.1" customHeight="true" spans="2:3">
      <c r="B141" s="498"/>
      <c r="C141" s="498"/>
    </row>
    <row r="142" s="495" customFormat="true" ht="20.1" customHeight="true" spans="2:3">
      <c r="B142" s="498"/>
      <c r="C142" s="498"/>
    </row>
    <row r="143" s="495" customFormat="true" ht="20.1" customHeight="true" spans="2:3">
      <c r="B143" s="498"/>
      <c r="C143" s="498"/>
    </row>
    <row r="144" s="495" customFormat="true" ht="20.1" customHeight="true" spans="2:3">
      <c r="B144" s="498"/>
      <c r="C144" s="498"/>
    </row>
    <row r="145" s="495" customFormat="true" ht="20.1" customHeight="true" spans="2:3">
      <c r="B145" s="498"/>
      <c r="C145" s="498"/>
    </row>
    <row r="146" s="495" customFormat="true" ht="20.1" customHeight="true" spans="2:3">
      <c r="B146" s="498"/>
      <c r="C146" s="498"/>
    </row>
    <row r="147" s="495" customFormat="true" ht="20.1" customHeight="true" spans="2:3">
      <c r="B147" s="498"/>
      <c r="C147" s="498"/>
    </row>
    <row r="148" s="495" customFormat="true" ht="20.1" customHeight="true" spans="2:3">
      <c r="B148" s="498"/>
      <c r="C148" s="498"/>
    </row>
    <row r="149" s="495" customFormat="true" ht="20.1" customHeight="true" spans="2:3">
      <c r="B149" s="498"/>
      <c r="C149" s="498"/>
    </row>
    <row r="150" s="495" customFormat="true" ht="20.1" customHeight="true" spans="2:3">
      <c r="B150" s="498"/>
      <c r="C150" s="498"/>
    </row>
    <row r="151" s="495" customFormat="true" ht="20.1" customHeight="true" spans="2:3">
      <c r="B151" s="498"/>
      <c r="C151" s="498"/>
    </row>
    <row r="152" s="495" customFormat="true" ht="20.1" customHeight="true" spans="2:3">
      <c r="B152" s="498"/>
      <c r="C152" s="498"/>
    </row>
    <row r="153" s="495" customFormat="true" ht="20.1" customHeight="true" spans="2:3">
      <c r="B153" s="498"/>
      <c r="C153" s="498"/>
    </row>
    <row r="154" s="495" customFormat="true" ht="20.1" customHeight="true" spans="2:3">
      <c r="B154" s="498"/>
      <c r="C154" s="498"/>
    </row>
    <row r="155" s="495" customFormat="true" ht="20.1" customHeight="true" spans="2:3">
      <c r="B155" s="498"/>
      <c r="C155" s="498"/>
    </row>
    <row r="156" s="495" customFormat="true" ht="20.1" customHeight="true" spans="2:3">
      <c r="B156" s="498"/>
      <c r="C156" s="498"/>
    </row>
    <row r="157" s="495" customFormat="true" ht="20.1" customHeight="true" spans="2:3">
      <c r="B157" s="498"/>
      <c r="C157" s="498"/>
    </row>
    <row r="158" s="495" customFormat="true" ht="20.1" customHeight="true" spans="2:3">
      <c r="B158" s="498"/>
      <c r="C158" s="498"/>
    </row>
    <row r="159" s="495" customFormat="true" ht="20.1" customHeight="true" spans="2:3">
      <c r="B159" s="498"/>
      <c r="C159" s="498"/>
    </row>
    <row r="160" s="495" customFormat="true" ht="20.1" customHeight="true" spans="2:3">
      <c r="B160" s="498"/>
      <c r="C160" s="498"/>
    </row>
    <row r="161" s="495" customFormat="true" ht="20.1" customHeight="true" spans="2:3">
      <c r="B161" s="498"/>
      <c r="C161" s="498"/>
    </row>
    <row r="162" s="495" customFormat="true" ht="20.1" customHeight="true" spans="2:3">
      <c r="B162" s="498"/>
      <c r="C162" s="498"/>
    </row>
    <row r="163" s="495" customFormat="true" ht="20.1" customHeight="true" spans="2:3">
      <c r="B163" s="498"/>
      <c r="C163" s="498"/>
    </row>
    <row r="164" s="495" customFormat="true" ht="20.1" customHeight="true" spans="2:3">
      <c r="B164" s="498"/>
      <c r="C164" s="498"/>
    </row>
    <row r="165" s="495" customFormat="true" ht="20.1" customHeight="true" spans="2:3">
      <c r="B165" s="498"/>
      <c r="C165" s="498"/>
    </row>
    <row r="166" s="495" customFormat="true" ht="20.1" customHeight="true" spans="2:3">
      <c r="B166" s="498"/>
      <c r="C166" s="498"/>
    </row>
    <row r="167" s="495" customFormat="true" ht="20.1" customHeight="true" spans="2:3">
      <c r="B167" s="498"/>
      <c r="C167" s="498"/>
    </row>
    <row r="168" s="495" customFormat="true" ht="20.1" customHeight="true" spans="2:3">
      <c r="B168" s="498"/>
      <c r="C168" s="498"/>
    </row>
    <row r="169" s="495" customFormat="true" ht="20.1" customHeight="true" spans="2:3">
      <c r="B169" s="498"/>
      <c r="C169" s="498"/>
    </row>
    <row r="170" s="495" customFormat="true" ht="20.1" customHeight="true" spans="2:3">
      <c r="B170" s="498"/>
      <c r="C170" s="498"/>
    </row>
    <row r="171" s="495" customFormat="true" ht="20.1" customHeight="true" spans="2:3">
      <c r="B171" s="498"/>
      <c r="C171" s="498"/>
    </row>
    <row r="172" s="495" customFormat="true" ht="20.1" customHeight="true" spans="2:3">
      <c r="B172" s="498"/>
      <c r="C172" s="498"/>
    </row>
    <row r="173" s="495" customFormat="true" ht="20.1" customHeight="true" spans="2:3">
      <c r="B173" s="498"/>
      <c r="C173" s="498"/>
    </row>
    <row r="174" s="495" customFormat="true" ht="20.1" customHeight="true" spans="2:3">
      <c r="B174" s="498"/>
      <c r="C174" s="498"/>
    </row>
    <row r="175" s="495" customFormat="true" ht="20.1" customHeight="true" spans="2:3">
      <c r="B175" s="498"/>
      <c r="C175" s="498"/>
    </row>
    <row r="176" s="495" customFormat="true" ht="20.1" customHeight="true" spans="2:3">
      <c r="B176" s="498"/>
      <c r="C176" s="498"/>
    </row>
    <row r="177" s="495" customFormat="true" ht="20.1" customHeight="true" spans="2:3">
      <c r="B177" s="498"/>
      <c r="C177" s="498"/>
    </row>
    <row r="178" s="495" customFormat="true" ht="20.1" customHeight="true" spans="2:3">
      <c r="B178" s="498"/>
      <c r="C178" s="498"/>
    </row>
    <row r="179" s="495" customFormat="true" ht="20.1" customHeight="true" spans="2:3">
      <c r="B179" s="498"/>
      <c r="C179" s="498"/>
    </row>
    <row r="180" s="495" customFormat="true" ht="20.1" customHeight="true" spans="2:3">
      <c r="B180" s="498"/>
      <c r="C180" s="498"/>
    </row>
    <row r="181" s="495" customFormat="true" ht="20.1" customHeight="true" spans="2:3">
      <c r="B181" s="498"/>
      <c r="C181" s="498"/>
    </row>
    <row r="182" s="495" customFormat="true" ht="20.1" customHeight="true" spans="2:3">
      <c r="B182" s="498"/>
      <c r="C182" s="498"/>
    </row>
    <row r="183" s="495" customFormat="true" ht="20.1" customHeight="true" spans="2:3">
      <c r="B183" s="498"/>
      <c r="C183" s="498"/>
    </row>
    <row r="184" s="495" customFormat="true" ht="20.1" customHeight="true" spans="2:3">
      <c r="B184" s="498"/>
      <c r="C184" s="498"/>
    </row>
    <row r="185" s="495" customFormat="true" ht="20.1" customHeight="true" spans="2:3">
      <c r="B185" s="498"/>
      <c r="C185" s="498"/>
    </row>
    <row r="186" s="495" customFormat="true" ht="20.1" customHeight="true" spans="2:3">
      <c r="B186" s="498"/>
      <c r="C186" s="498"/>
    </row>
    <row r="187" s="495" customFormat="true" ht="20.1" customHeight="true" spans="2:3">
      <c r="B187" s="498"/>
      <c r="C187" s="498"/>
    </row>
    <row r="188" s="495" customFormat="true" ht="20.1" customHeight="true" spans="2:3">
      <c r="B188" s="498"/>
      <c r="C188" s="498"/>
    </row>
    <row r="189" s="495" customFormat="true" ht="20.1" customHeight="true" spans="2:3">
      <c r="B189" s="498"/>
      <c r="C189" s="498"/>
    </row>
    <row r="190" s="495" customFormat="true" ht="20.1" customHeight="true" spans="2:3">
      <c r="B190" s="498"/>
      <c r="C190" s="498"/>
    </row>
    <row r="191" s="495" customFormat="true" ht="20.1" customHeight="true" spans="2:3">
      <c r="B191" s="498"/>
      <c r="C191" s="498"/>
    </row>
    <row r="192" s="495" customFormat="true" ht="20.1" customHeight="true" spans="2:3">
      <c r="B192" s="498"/>
      <c r="C192" s="498"/>
    </row>
    <row r="193" s="495" customFormat="true" ht="20.1" customHeight="true" spans="2:3">
      <c r="B193" s="498"/>
      <c r="C193" s="498"/>
    </row>
    <row r="194" s="495" customFormat="true" ht="20.1" customHeight="true" spans="2:3">
      <c r="B194" s="498"/>
      <c r="C194" s="498"/>
    </row>
    <row r="195" s="495" customFormat="true" ht="20.1" customHeight="true" spans="2:3">
      <c r="B195" s="498"/>
      <c r="C195" s="498"/>
    </row>
    <row r="196" s="495" customFormat="true" ht="20.1" customHeight="true" spans="2:3">
      <c r="B196" s="498"/>
      <c r="C196" s="498"/>
    </row>
    <row r="197" s="495" customFormat="true" ht="20.1" customHeight="true" spans="2:3">
      <c r="B197" s="498"/>
      <c r="C197" s="498"/>
    </row>
    <row r="198" s="495" customFormat="true" ht="20.1" customHeight="true" spans="2:3">
      <c r="B198" s="498"/>
      <c r="C198" s="498"/>
    </row>
    <row r="199" s="495" customFormat="true" ht="20.1" customHeight="true" spans="2:3">
      <c r="B199" s="498"/>
      <c r="C199" s="498"/>
    </row>
    <row r="200" s="495" customFormat="true" ht="20.1" customHeight="true" spans="2:3">
      <c r="B200" s="498"/>
      <c r="C200" s="498"/>
    </row>
  </sheetData>
  <mergeCells count="3">
    <mergeCell ref="A2:K2"/>
    <mergeCell ref="A4:C4"/>
    <mergeCell ref="I4:J4"/>
  </mergeCells>
  <dataValidations count="2">
    <dataValidation type="whole" operator="between" allowBlank="1" showInputMessage="1" showErrorMessage="1" error="请输入整数！" sqref="C56 C60 C58:C59 G43:G44">
      <formula1>-100000000</formula1>
      <formula2>100000000</formula2>
    </dataValidation>
    <dataValidation type="whole" operator="between" allowBlank="1" showInputMessage="1" showErrorMessage="1" error="请输入整数！" sqref="G32 G35:G40">
      <formula1>1</formula1>
      <formula2>10000000000000</formula2>
    </dataValidation>
  </dataValidations>
  <printOptions horizontalCentered="true"/>
  <pageMargins left="0" right="0" top="0.63" bottom="0.63" header="0.35" footer="0.59"/>
  <pageSetup paperSize="9" scale="70" firstPageNumber="11" orientation="portrait" useFirstPageNumber="true" horizontalDpi="600" verticalDpi="600"/>
  <headerFooter alignWithMargins="0" scaleWithDoc="0">
    <oddFooter>&amp;C&amp;"Arial"&amp;10第 &amp;P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pane ySplit="4" topLeftCell="A9" activePane="bottomLeft" state="frozen"/>
      <selection/>
      <selection pane="bottomLeft" activeCell="A2" sqref="A2:B2"/>
    </sheetView>
  </sheetViews>
  <sheetFormatPr defaultColWidth="10" defaultRowHeight="13.5" outlineLevelCol="1"/>
  <cols>
    <col min="1" max="1" width="39.9" style="24" customWidth="true"/>
    <col min="2" max="2" width="25.65" style="24" customWidth="true"/>
    <col min="3" max="3" width="9.76666666666667" style="24" customWidth="true"/>
    <col min="4" max="16384" width="10" style="24"/>
  </cols>
  <sheetData>
    <row r="1" ht="14.3" customHeight="true" spans="1:1">
      <c r="A1" s="25" t="s">
        <v>2111</v>
      </c>
    </row>
    <row r="2" ht="20.35" customHeight="true" spans="1:2">
      <c r="A2" s="26" t="s">
        <v>2112</v>
      </c>
      <c r="B2" s="26"/>
    </row>
    <row r="3" ht="21" customHeight="true" spans="1:2">
      <c r="A3" s="27"/>
      <c r="B3" s="28" t="s">
        <v>2018</v>
      </c>
    </row>
    <row r="4" ht="20.35" customHeight="true" spans="1:2">
      <c r="A4" s="29" t="s">
        <v>2079</v>
      </c>
      <c r="B4" s="30" t="s">
        <v>270</v>
      </c>
    </row>
    <row r="5" ht="17.05" customHeight="true" spans="1:2">
      <c r="A5" s="31" t="s">
        <v>2113</v>
      </c>
      <c r="B5" s="32">
        <v>9.835</v>
      </c>
    </row>
    <row r="6" ht="17.05" customHeight="true" spans="1:2">
      <c r="A6" s="33" t="s">
        <v>2081</v>
      </c>
      <c r="B6" s="34">
        <f>B7+B8</f>
        <v>10.27</v>
      </c>
    </row>
    <row r="7" ht="17.05" customHeight="true" spans="1:2">
      <c r="A7" s="33" t="s">
        <v>2082</v>
      </c>
      <c r="B7" s="34">
        <f>B10+B13</f>
        <v>3.04</v>
      </c>
    </row>
    <row r="8" ht="15" customHeight="true" spans="1:2">
      <c r="A8" s="33" t="s">
        <v>2083</v>
      </c>
      <c r="B8" s="34">
        <f>B11+B14</f>
        <v>7.23</v>
      </c>
    </row>
    <row r="9" ht="17.05" customHeight="true" spans="1:2">
      <c r="A9" s="33" t="s">
        <v>2084</v>
      </c>
      <c r="B9" s="34">
        <f>SUM(B10:B11)</f>
        <v>9.4</v>
      </c>
    </row>
    <row r="10" ht="17.05" customHeight="true" spans="1:2">
      <c r="A10" s="33" t="s">
        <v>2085</v>
      </c>
      <c r="B10" s="34">
        <v>2.9</v>
      </c>
    </row>
    <row r="11" ht="17.05" customHeight="true" spans="1:2">
      <c r="A11" s="33" t="s">
        <v>2086</v>
      </c>
      <c r="B11" s="34">
        <v>6.5</v>
      </c>
    </row>
    <row r="12" ht="17.05" customHeight="true" spans="1:2">
      <c r="A12" s="33" t="s">
        <v>2087</v>
      </c>
      <c r="B12" s="34">
        <f>SUM(B13:B14)</f>
        <v>0.87</v>
      </c>
    </row>
    <row r="13" ht="17.05" customHeight="true" spans="1:2">
      <c r="A13" s="33" t="s">
        <v>2088</v>
      </c>
      <c r="B13" s="34">
        <v>0.14</v>
      </c>
    </row>
    <row r="14" ht="17.05" customHeight="true" spans="1:2">
      <c r="A14" s="33" t="s">
        <v>2089</v>
      </c>
      <c r="B14" s="34">
        <v>0.73</v>
      </c>
    </row>
    <row r="15" ht="17.05" customHeight="true" spans="1:2">
      <c r="A15" s="31" t="s">
        <v>2114</v>
      </c>
      <c r="B15" s="32"/>
    </row>
    <row r="16" ht="17.05" customHeight="true" spans="1:2">
      <c r="A16" s="33" t="s">
        <v>2091</v>
      </c>
      <c r="B16" s="34">
        <f>SUM(B17:B18)</f>
        <v>2.7209</v>
      </c>
    </row>
    <row r="17" ht="17.05" customHeight="true" spans="1:2">
      <c r="A17" s="33" t="s">
        <v>2092</v>
      </c>
      <c r="B17" s="34">
        <v>2.1785</v>
      </c>
    </row>
    <row r="18" ht="17.05" customHeight="true" spans="1:2">
      <c r="A18" s="33" t="s">
        <v>2093</v>
      </c>
      <c r="B18" s="34">
        <v>0.5424</v>
      </c>
    </row>
    <row r="19" ht="17.05" customHeight="true" spans="1:2">
      <c r="A19" s="31" t="s">
        <v>2115</v>
      </c>
      <c r="B19" s="32"/>
    </row>
    <row r="20" ht="17.05" customHeight="true" spans="1:2">
      <c r="A20" s="33" t="s">
        <v>2095</v>
      </c>
      <c r="B20" s="34">
        <f>SUM(B21:B22)</f>
        <v>86.85</v>
      </c>
    </row>
    <row r="21" ht="17.05" customHeight="true" spans="1:2">
      <c r="A21" s="33" t="s">
        <v>2096</v>
      </c>
      <c r="B21" s="34">
        <v>71.12</v>
      </c>
    </row>
    <row r="22" ht="17.05" customHeight="true" spans="1:2">
      <c r="A22" s="33" t="s">
        <v>2097</v>
      </c>
      <c r="B22" s="34">
        <v>15.73</v>
      </c>
    </row>
  </sheetData>
  <mergeCells count="1">
    <mergeCell ref="A2:B2"/>
  </mergeCells>
  <pageMargins left="0.39300000667572" right="0.39300000667572" top="0.39300000667572" bottom="0.39300000667572"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17" workbookViewId="0">
      <selection activeCell="A16" sqref="A16"/>
    </sheetView>
  </sheetViews>
  <sheetFormatPr defaultColWidth="9" defaultRowHeight="13.5"/>
  <cols>
    <col min="1" max="1" width="6.83333333333333" style="13" customWidth="true"/>
    <col min="2" max="2" width="27.125" style="13" customWidth="true"/>
    <col min="3" max="3" width="15.5" style="13" customWidth="true"/>
    <col min="4" max="5" width="6.375" style="13" customWidth="true"/>
    <col min="6" max="6" width="12.5" style="13" customWidth="true"/>
    <col min="7" max="7" width="11.625" style="13" customWidth="true"/>
    <col min="8" max="8" width="13.25" style="13" customWidth="true"/>
    <col min="9" max="9" width="11.875" style="13" customWidth="true"/>
    <col min="10" max="10" width="27.125" style="13" customWidth="true"/>
    <col min="11" max="11" width="7.75" style="13" customWidth="true"/>
    <col min="12" max="12" width="12.875" style="13" customWidth="true"/>
    <col min="13" max="13" width="16.625" style="13" customWidth="true"/>
    <col min="14" max="16384" width="9" style="13"/>
  </cols>
  <sheetData>
    <row r="1" ht="20.25" spans="1:2">
      <c r="A1" s="14" t="s">
        <v>2116</v>
      </c>
      <c r="B1" s="14"/>
    </row>
    <row r="2" ht="36" customHeight="true" spans="1:14">
      <c r="A2" s="15" t="s">
        <v>2117</v>
      </c>
      <c r="B2" s="15"/>
      <c r="C2" s="15"/>
      <c r="D2" s="15"/>
      <c r="E2" s="15"/>
      <c r="F2" s="15"/>
      <c r="G2" s="15"/>
      <c r="H2" s="15"/>
      <c r="I2" s="15"/>
      <c r="J2" s="15"/>
      <c r="K2" s="15"/>
      <c r="L2" s="15"/>
      <c r="M2" s="15"/>
      <c r="N2" s="15"/>
    </row>
    <row r="3" ht="21" customHeight="true" spans="1:13">
      <c r="A3" s="16"/>
      <c r="B3" s="16"/>
      <c r="C3" s="16"/>
      <c r="D3" s="16"/>
      <c r="E3" s="16"/>
      <c r="F3" s="16"/>
      <c r="G3" s="16"/>
      <c r="H3" s="16"/>
      <c r="I3" s="16"/>
      <c r="J3" s="16"/>
      <c r="K3" s="16"/>
      <c r="L3" s="16"/>
      <c r="M3" s="16" t="s">
        <v>3</v>
      </c>
    </row>
    <row r="4" ht="42" customHeight="true" spans="1:13">
      <c r="A4" s="17" t="s">
        <v>2118</v>
      </c>
      <c r="B4" s="17" t="s">
        <v>2119</v>
      </c>
      <c r="C4" s="17" t="s">
        <v>2120</v>
      </c>
      <c r="D4" s="17" t="s">
        <v>2121</v>
      </c>
      <c r="E4" s="17" t="s">
        <v>2122</v>
      </c>
      <c r="F4" s="17" t="s">
        <v>2123</v>
      </c>
      <c r="G4" s="17" t="s">
        <v>2124</v>
      </c>
      <c r="H4" s="17" t="s">
        <v>2125</v>
      </c>
      <c r="I4" s="17" t="s">
        <v>2126</v>
      </c>
      <c r="J4" s="17" t="s">
        <v>2127</v>
      </c>
      <c r="K4" s="17" t="s">
        <v>2128</v>
      </c>
      <c r="L4" s="17" t="s">
        <v>2129</v>
      </c>
      <c r="M4" s="17" t="s">
        <v>2130</v>
      </c>
    </row>
    <row r="5" s="13" customFormat="true" ht="29" customHeight="true" spans="1:13">
      <c r="A5" s="18"/>
      <c r="B5" s="18"/>
      <c r="C5" s="18"/>
      <c r="D5" s="18"/>
      <c r="E5" s="18"/>
      <c r="F5" s="18"/>
      <c r="G5" s="18"/>
      <c r="H5" s="21">
        <f>SUM(H6:H29)</f>
        <v>90600</v>
      </c>
      <c r="I5" s="18"/>
      <c r="J5" s="18"/>
      <c r="K5" s="18"/>
      <c r="L5" s="18"/>
      <c r="M5" s="18"/>
    </row>
    <row r="6" ht="44" customHeight="true" spans="1:13">
      <c r="A6" s="19" t="s">
        <v>2131</v>
      </c>
      <c r="B6" s="20" t="s">
        <v>2132</v>
      </c>
      <c r="C6" s="20" t="s">
        <v>2133</v>
      </c>
      <c r="D6" s="20" t="s">
        <v>2134</v>
      </c>
      <c r="E6" s="22" t="s">
        <v>2135</v>
      </c>
      <c r="F6" s="20" t="s">
        <v>2136</v>
      </c>
      <c r="G6" s="20" t="s">
        <v>2025</v>
      </c>
      <c r="H6" s="23">
        <v>800</v>
      </c>
      <c r="I6" s="20" t="s">
        <v>2137</v>
      </c>
      <c r="J6" s="20" t="s">
        <v>2138</v>
      </c>
      <c r="K6" s="20" t="s">
        <v>2139</v>
      </c>
      <c r="L6" s="22" t="s">
        <v>2140</v>
      </c>
      <c r="M6" s="20" t="s">
        <v>2141</v>
      </c>
    </row>
    <row r="7" ht="44" customHeight="true" spans="1:13">
      <c r="A7" s="19" t="s">
        <v>2142</v>
      </c>
      <c r="B7" s="20" t="s">
        <v>2143</v>
      </c>
      <c r="C7" s="20" t="s">
        <v>2144</v>
      </c>
      <c r="D7" s="20" t="s">
        <v>2139</v>
      </c>
      <c r="E7" s="22" t="s">
        <v>2145</v>
      </c>
      <c r="F7" s="20" t="s">
        <v>2146</v>
      </c>
      <c r="G7" s="20" t="s">
        <v>2025</v>
      </c>
      <c r="H7" s="23">
        <v>417.53</v>
      </c>
      <c r="I7" s="20" t="s">
        <v>2147</v>
      </c>
      <c r="J7" s="20" t="s">
        <v>2148</v>
      </c>
      <c r="K7" s="20" t="s">
        <v>2139</v>
      </c>
      <c r="L7" s="22" t="s">
        <v>2149</v>
      </c>
      <c r="M7" s="20" t="s">
        <v>2141</v>
      </c>
    </row>
    <row r="8" ht="44" customHeight="true" spans="1:13">
      <c r="A8" s="19" t="s">
        <v>2150</v>
      </c>
      <c r="B8" s="20" t="s">
        <v>2143</v>
      </c>
      <c r="C8" s="20" t="s">
        <v>2144</v>
      </c>
      <c r="D8" s="20" t="s">
        <v>2139</v>
      </c>
      <c r="E8" s="22" t="s">
        <v>2145</v>
      </c>
      <c r="F8" s="20" t="s">
        <v>2146</v>
      </c>
      <c r="G8" s="20" t="s">
        <v>2025</v>
      </c>
      <c r="H8" s="23">
        <v>500</v>
      </c>
      <c r="I8" s="20" t="s">
        <v>2147</v>
      </c>
      <c r="J8" s="20" t="s">
        <v>2148</v>
      </c>
      <c r="K8" s="20" t="s">
        <v>2139</v>
      </c>
      <c r="L8" s="22" t="s">
        <v>2149</v>
      </c>
      <c r="M8" s="20" t="s">
        <v>2141</v>
      </c>
    </row>
    <row r="9" ht="44" customHeight="true" spans="1:13">
      <c r="A9" s="19" t="s">
        <v>2151</v>
      </c>
      <c r="B9" s="20" t="s">
        <v>2143</v>
      </c>
      <c r="C9" s="20" t="s">
        <v>2144</v>
      </c>
      <c r="D9" s="20" t="s">
        <v>2139</v>
      </c>
      <c r="E9" s="22" t="s">
        <v>2145</v>
      </c>
      <c r="F9" s="20" t="s">
        <v>2146</v>
      </c>
      <c r="G9" s="20" t="s">
        <v>2025</v>
      </c>
      <c r="H9" s="23">
        <v>2000</v>
      </c>
      <c r="I9" s="20" t="s">
        <v>2147</v>
      </c>
      <c r="J9" s="20" t="s">
        <v>2148</v>
      </c>
      <c r="K9" s="20" t="s">
        <v>2139</v>
      </c>
      <c r="L9" s="22" t="s">
        <v>2149</v>
      </c>
      <c r="M9" s="20" t="s">
        <v>2141</v>
      </c>
    </row>
    <row r="10" ht="44" customHeight="true" spans="1:13">
      <c r="A10" s="19" t="s">
        <v>2152</v>
      </c>
      <c r="B10" s="20" t="s">
        <v>2143</v>
      </c>
      <c r="C10" s="20" t="s">
        <v>2144</v>
      </c>
      <c r="D10" s="20" t="s">
        <v>2139</v>
      </c>
      <c r="E10" s="22" t="s">
        <v>2145</v>
      </c>
      <c r="F10" s="20" t="s">
        <v>2146</v>
      </c>
      <c r="G10" s="20" t="s">
        <v>2025</v>
      </c>
      <c r="H10" s="23">
        <v>1346</v>
      </c>
      <c r="I10" s="20" t="s">
        <v>2147</v>
      </c>
      <c r="J10" s="20" t="s">
        <v>2148</v>
      </c>
      <c r="K10" s="20" t="s">
        <v>2139</v>
      </c>
      <c r="L10" s="22" t="s">
        <v>2149</v>
      </c>
      <c r="M10" s="20" t="s">
        <v>2141</v>
      </c>
    </row>
    <row r="11" ht="44" customHeight="true" spans="1:13">
      <c r="A11" s="19" t="s">
        <v>2153</v>
      </c>
      <c r="B11" s="20" t="s">
        <v>2143</v>
      </c>
      <c r="C11" s="20" t="s">
        <v>2144</v>
      </c>
      <c r="D11" s="20" t="s">
        <v>2139</v>
      </c>
      <c r="E11" s="22" t="s">
        <v>2145</v>
      </c>
      <c r="F11" s="20" t="s">
        <v>2146</v>
      </c>
      <c r="G11" s="20" t="s">
        <v>2025</v>
      </c>
      <c r="H11" s="23">
        <v>130.97</v>
      </c>
      <c r="I11" s="20" t="s">
        <v>2147</v>
      </c>
      <c r="J11" s="20" t="s">
        <v>2148</v>
      </c>
      <c r="K11" s="20" t="s">
        <v>2139</v>
      </c>
      <c r="L11" s="22" t="s">
        <v>2149</v>
      </c>
      <c r="M11" s="20" t="s">
        <v>2141</v>
      </c>
    </row>
    <row r="12" ht="44" customHeight="true" spans="1:13">
      <c r="A12" s="19" t="s">
        <v>2154</v>
      </c>
      <c r="B12" s="20" t="s">
        <v>2143</v>
      </c>
      <c r="C12" s="20" t="s">
        <v>2144</v>
      </c>
      <c r="D12" s="20" t="s">
        <v>2139</v>
      </c>
      <c r="E12" s="22" t="s">
        <v>2145</v>
      </c>
      <c r="F12" s="20" t="s">
        <v>2146</v>
      </c>
      <c r="G12" s="20" t="s">
        <v>2025</v>
      </c>
      <c r="H12" s="23">
        <v>105.5</v>
      </c>
      <c r="I12" s="20" t="s">
        <v>2147</v>
      </c>
      <c r="J12" s="20" t="s">
        <v>2148</v>
      </c>
      <c r="K12" s="20" t="s">
        <v>2139</v>
      </c>
      <c r="L12" s="22" t="s">
        <v>2149</v>
      </c>
      <c r="M12" s="20" t="s">
        <v>2141</v>
      </c>
    </row>
    <row r="13" ht="44" customHeight="true" spans="1:13">
      <c r="A13" s="19" t="s">
        <v>2155</v>
      </c>
      <c r="B13" s="20" t="s">
        <v>2143</v>
      </c>
      <c r="C13" s="20" t="s">
        <v>2144</v>
      </c>
      <c r="D13" s="20" t="s">
        <v>2139</v>
      </c>
      <c r="E13" s="22" t="s">
        <v>2145</v>
      </c>
      <c r="F13" s="20" t="s">
        <v>2146</v>
      </c>
      <c r="G13" s="20" t="s">
        <v>2025</v>
      </c>
      <c r="H13" s="23">
        <v>895</v>
      </c>
      <c r="I13" s="20" t="s">
        <v>2147</v>
      </c>
      <c r="J13" s="20" t="s">
        <v>2148</v>
      </c>
      <c r="K13" s="20" t="s">
        <v>2139</v>
      </c>
      <c r="L13" s="22" t="s">
        <v>2149</v>
      </c>
      <c r="M13" s="20" t="s">
        <v>2141</v>
      </c>
    </row>
    <row r="14" ht="44" customHeight="true" spans="1:13">
      <c r="A14" s="19" t="s">
        <v>2156</v>
      </c>
      <c r="B14" s="20" t="s">
        <v>2132</v>
      </c>
      <c r="C14" s="20" t="s">
        <v>2133</v>
      </c>
      <c r="D14" s="20" t="s">
        <v>2134</v>
      </c>
      <c r="E14" s="22" t="s">
        <v>2135</v>
      </c>
      <c r="F14" s="20" t="s">
        <v>2136</v>
      </c>
      <c r="G14" s="20" t="s">
        <v>2025</v>
      </c>
      <c r="H14" s="23">
        <v>3700</v>
      </c>
      <c r="I14" s="20" t="s">
        <v>2157</v>
      </c>
      <c r="J14" s="20" t="s">
        <v>2158</v>
      </c>
      <c r="K14" s="20" t="s">
        <v>2134</v>
      </c>
      <c r="L14" s="22" t="s">
        <v>2159</v>
      </c>
      <c r="M14" s="20" t="s">
        <v>2141</v>
      </c>
    </row>
    <row r="15" ht="44" customHeight="true" spans="1:13">
      <c r="A15" s="19" t="s">
        <v>2160</v>
      </c>
      <c r="B15" s="20" t="s">
        <v>2161</v>
      </c>
      <c r="C15" s="20" t="s">
        <v>2162</v>
      </c>
      <c r="D15" s="20" t="s">
        <v>2163</v>
      </c>
      <c r="E15" s="22" t="s">
        <v>2164</v>
      </c>
      <c r="F15" s="20" t="s">
        <v>2165</v>
      </c>
      <c r="G15" s="20" t="s">
        <v>2025</v>
      </c>
      <c r="H15" s="23">
        <v>2000</v>
      </c>
      <c r="I15" s="20" t="s">
        <v>2166</v>
      </c>
      <c r="J15" s="20" t="s">
        <v>2167</v>
      </c>
      <c r="K15" s="20" t="s">
        <v>2134</v>
      </c>
      <c r="L15" s="22" t="s">
        <v>2168</v>
      </c>
      <c r="M15" s="20" t="s">
        <v>2141</v>
      </c>
    </row>
    <row r="16" ht="44" customHeight="true" spans="1:13">
      <c r="A16" s="19" t="s">
        <v>2169</v>
      </c>
      <c r="B16" s="20" t="s">
        <v>2161</v>
      </c>
      <c r="C16" s="20" t="s">
        <v>2162</v>
      </c>
      <c r="D16" s="20" t="s">
        <v>2163</v>
      </c>
      <c r="E16" s="22" t="s">
        <v>2164</v>
      </c>
      <c r="F16" s="20" t="s">
        <v>2165</v>
      </c>
      <c r="G16" s="20" t="s">
        <v>2025</v>
      </c>
      <c r="H16" s="23">
        <v>2000</v>
      </c>
      <c r="I16" s="20" t="s">
        <v>2166</v>
      </c>
      <c r="J16" s="20" t="s">
        <v>2167</v>
      </c>
      <c r="K16" s="20" t="s">
        <v>2134</v>
      </c>
      <c r="L16" s="22" t="s">
        <v>2168</v>
      </c>
      <c r="M16" s="20" t="s">
        <v>2141</v>
      </c>
    </row>
    <row r="17" ht="44" customHeight="true" spans="1:13">
      <c r="A17" s="19" t="s">
        <v>2170</v>
      </c>
      <c r="B17" s="20" t="s">
        <v>2132</v>
      </c>
      <c r="C17" s="20" t="s">
        <v>2133</v>
      </c>
      <c r="D17" s="20" t="s">
        <v>2134</v>
      </c>
      <c r="E17" s="22" t="s">
        <v>2135</v>
      </c>
      <c r="F17" s="20" t="s">
        <v>2136</v>
      </c>
      <c r="G17" s="20" t="s">
        <v>2025</v>
      </c>
      <c r="H17" s="23">
        <v>2000</v>
      </c>
      <c r="I17" s="20" t="s">
        <v>2137</v>
      </c>
      <c r="J17" s="20" t="s">
        <v>2138</v>
      </c>
      <c r="K17" s="20" t="s">
        <v>2139</v>
      </c>
      <c r="L17" s="22" t="s">
        <v>2140</v>
      </c>
      <c r="M17" s="20" t="s">
        <v>2141</v>
      </c>
    </row>
    <row r="18" ht="44" customHeight="true" spans="1:13">
      <c r="A18" s="19" t="s">
        <v>2171</v>
      </c>
      <c r="B18" s="20" t="s">
        <v>2143</v>
      </c>
      <c r="C18" s="20" t="s">
        <v>2144</v>
      </c>
      <c r="D18" s="20" t="s">
        <v>2139</v>
      </c>
      <c r="E18" s="22" t="s">
        <v>2145</v>
      </c>
      <c r="F18" s="20" t="s">
        <v>2146</v>
      </c>
      <c r="G18" s="20" t="s">
        <v>2025</v>
      </c>
      <c r="H18" s="23">
        <v>105</v>
      </c>
      <c r="I18" s="20" t="s">
        <v>2147</v>
      </c>
      <c r="J18" s="20" t="s">
        <v>2148</v>
      </c>
      <c r="K18" s="20" t="s">
        <v>2139</v>
      </c>
      <c r="L18" s="22" t="s">
        <v>2149</v>
      </c>
      <c r="M18" s="20" t="s">
        <v>2141</v>
      </c>
    </row>
    <row r="19" ht="44" customHeight="true" spans="1:13">
      <c r="A19" s="19" t="s">
        <v>2172</v>
      </c>
      <c r="B19" s="20" t="s">
        <v>2143</v>
      </c>
      <c r="C19" s="20" t="s">
        <v>2144</v>
      </c>
      <c r="D19" s="20" t="s">
        <v>2139</v>
      </c>
      <c r="E19" s="22" t="s">
        <v>2145</v>
      </c>
      <c r="F19" s="20" t="s">
        <v>2146</v>
      </c>
      <c r="G19" s="20" t="s">
        <v>2025</v>
      </c>
      <c r="H19" s="23">
        <v>6000</v>
      </c>
      <c r="I19" s="20" t="s">
        <v>2147</v>
      </c>
      <c r="J19" s="20" t="s">
        <v>2148</v>
      </c>
      <c r="K19" s="20" t="s">
        <v>2139</v>
      </c>
      <c r="L19" s="22" t="s">
        <v>2149</v>
      </c>
      <c r="M19" s="20" t="s">
        <v>2141</v>
      </c>
    </row>
    <row r="20" ht="44" customHeight="true" spans="1:13">
      <c r="A20" s="19" t="s">
        <v>2173</v>
      </c>
      <c r="B20" s="20" t="s">
        <v>2161</v>
      </c>
      <c r="C20" s="20" t="s">
        <v>2162</v>
      </c>
      <c r="D20" s="20" t="s">
        <v>2163</v>
      </c>
      <c r="E20" s="22" t="s">
        <v>2164</v>
      </c>
      <c r="F20" s="20" t="s">
        <v>2165</v>
      </c>
      <c r="G20" s="20" t="s">
        <v>2025</v>
      </c>
      <c r="H20" s="23">
        <v>3000</v>
      </c>
      <c r="I20" s="20" t="s">
        <v>2166</v>
      </c>
      <c r="J20" s="20" t="s">
        <v>2167</v>
      </c>
      <c r="K20" s="20" t="s">
        <v>2134</v>
      </c>
      <c r="L20" s="22" t="s">
        <v>2168</v>
      </c>
      <c r="M20" s="20" t="s">
        <v>2141</v>
      </c>
    </row>
    <row r="21" ht="44" customHeight="true" spans="1:13">
      <c r="A21" s="19" t="s">
        <v>2174</v>
      </c>
      <c r="B21" s="20" t="s">
        <v>2143</v>
      </c>
      <c r="C21" s="20" t="s">
        <v>2144</v>
      </c>
      <c r="D21" s="20" t="s">
        <v>2139</v>
      </c>
      <c r="E21" s="22" t="s">
        <v>2145</v>
      </c>
      <c r="F21" s="20" t="s">
        <v>2146</v>
      </c>
      <c r="G21" s="20" t="s">
        <v>2025</v>
      </c>
      <c r="H21" s="23">
        <v>14000</v>
      </c>
      <c r="I21" s="20" t="s">
        <v>2147</v>
      </c>
      <c r="J21" s="20" t="s">
        <v>2148</v>
      </c>
      <c r="K21" s="20" t="s">
        <v>2139</v>
      </c>
      <c r="L21" s="22" t="s">
        <v>2149</v>
      </c>
      <c r="M21" s="20" t="s">
        <v>2141</v>
      </c>
    </row>
    <row r="22" ht="44" customHeight="true" spans="1:13">
      <c r="A22" s="19" t="s">
        <v>2175</v>
      </c>
      <c r="B22" s="20" t="s">
        <v>2161</v>
      </c>
      <c r="C22" s="20" t="s">
        <v>2162</v>
      </c>
      <c r="D22" s="20" t="s">
        <v>2163</v>
      </c>
      <c r="E22" s="22" t="s">
        <v>2164</v>
      </c>
      <c r="F22" s="20" t="s">
        <v>2165</v>
      </c>
      <c r="G22" s="20" t="s">
        <v>2025</v>
      </c>
      <c r="H22" s="23">
        <v>3000</v>
      </c>
      <c r="I22" s="20" t="s">
        <v>2166</v>
      </c>
      <c r="J22" s="20" t="s">
        <v>2167</v>
      </c>
      <c r="K22" s="20" t="s">
        <v>2134</v>
      </c>
      <c r="L22" s="22" t="s">
        <v>2168</v>
      </c>
      <c r="M22" s="20" t="s">
        <v>2141</v>
      </c>
    </row>
    <row r="23" ht="44" customHeight="true" spans="1:13">
      <c r="A23" s="19" t="s">
        <v>2176</v>
      </c>
      <c r="B23" s="20" t="s">
        <v>2143</v>
      </c>
      <c r="C23" s="20" t="s">
        <v>2144</v>
      </c>
      <c r="D23" s="20" t="s">
        <v>2139</v>
      </c>
      <c r="E23" s="22" t="s">
        <v>2145</v>
      </c>
      <c r="F23" s="20" t="s">
        <v>2146</v>
      </c>
      <c r="G23" s="20" t="s">
        <v>2025</v>
      </c>
      <c r="H23" s="23">
        <v>1000</v>
      </c>
      <c r="I23" s="20" t="s">
        <v>2147</v>
      </c>
      <c r="J23" s="20" t="s">
        <v>2148</v>
      </c>
      <c r="K23" s="20" t="s">
        <v>2139</v>
      </c>
      <c r="L23" s="22" t="s">
        <v>2149</v>
      </c>
      <c r="M23" s="20" t="s">
        <v>2141</v>
      </c>
    </row>
    <row r="24" ht="44" customHeight="true" spans="1:13">
      <c r="A24" s="19" t="s">
        <v>2177</v>
      </c>
      <c r="B24" s="20" t="s">
        <v>2178</v>
      </c>
      <c r="C24" s="20" t="s">
        <v>2179</v>
      </c>
      <c r="D24" s="20" t="s">
        <v>2134</v>
      </c>
      <c r="E24" s="22" t="s">
        <v>2180</v>
      </c>
      <c r="F24" s="20" t="s">
        <v>2181</v>
      </c>
      <c r="G24" s="20" t="s">
        <v>2025</v>
      </c>
      <c r="H24" s="23">
        <v>34500</v>
      </c>
      <c r="I24" s="20" t="s">
        <v>2182</v>
      </c>
      <c r="J24" s="20" t="s">
        <v>2183</v>
      </c>
      <c r="K24" s="20" t="s">
        <v>2139</v>
      </c>
      <c r="L24" s="22" t="s">
        <v>2184</v>
      </c>
      <c r="M24" s="20" t="s">
        <v>2141</v>
      </c>
    </row>
    <row r="25" ht="44" customHeight="true" spans="1:13">
      <c r="A25" s="19" t="s">
        <v>2185</v>
      </c>
      <c r="B25" s="20" t="s">
        <v>2132</v>
      </c>
      <c r="C25" s="20" t="s">
        <v>2133</v>
      </c>
      <c r="D25" s="20" t="s">
        <v>2134</v>
      </c>
      <c r="E25" s="22" t="s">
        <v>2135</v>
      </c>
      <c r="F25" s="20" t="s">
        <v>2136</v>
      </c>
      <c r="G25" s="20" t="s">
        <v>2025</v>
      </c>
      <c r="H25" s="23">
        <v>442.94</v>
      </c>
      <c r="I25" s="20" t="s">
        <v>2137</v>
      </c>
      <c r="J25" s="20" t="s">
        <v>2138</v>
      </c>
      <c r="K25" s="20" t="s">
        <v>2139</v>
      </c>
      <c r="L25" s="22" t="s">
        <v>2140</v>
      </c>
      <c r="M25" s="20" t="s">
        <v>2141</v>
      </c>
    </row>
    <row r="26" ht="44" customHeight="true" spans="1:13">
      <c r="A26" s="19" t="s">
        <v>2186</v>
      </c>
      <c r="B26" s="20" t="s">
        <v>2132</v>
      </c>
      <c r="C26" s="20" t="s">
        <v>2133</v>
      </c>
      <c r="D26" s="20" t="s">
        <v>2134</v>
      </c>
      <c r="E26" s="22" t="s">
        <v>2135</v>
      </c>
      <c r="F26" s="20" t="s">
        <v>2136</v>
      </c>
      <c r="G26" s="20" t="s">
        <v>2025</v>
      </c>
      <c r="H26" s="23">
        <v>4700</v>
      </c>
      <c r="I26" s="20" t="s">
        <v>2157</v>
      </c>
      <c r="J26" s="20" t="s">
        <v>2187</v>
      </c>
      <c r="K26" s="20" t="s">
        <v>2134</v>
      </c>
      <c r="L26" s="22" t="s">
        <v>2159</v>
      </c>
      <c r="M26" s="20" t="s">
        <v>2141</v>
      </c>
    </row>
    <row r="27" ht="44" customHeight="true" spans="1:13">
      <c r="A27" s="19" t="s">
        <v>2188</v>
      </c>
      <c r="B27" s="20" t="s">
        <v>2132</v>
      </c>
      <c r="C27" s="20" t="s">
        <v>2133</v>
      </c>
      <c r="D27" s="20" t="s">
        <v>2134</v>
      </c>
      <c r="E27" s="22" t="s">
        <v>2135</v>
      </c>
      <c r="F27" s="20" t="s">
        <v>2136</v>
      </c>
      <c r="G27" s="20" t="s">
        <v>2025</v>
      </c>
      <c r="H27" s="23">
        <v>4847.48</v>
      </c>
      <c r="I27" s="20" t="s">
        <v>2137</v>
      </c>
      <c r="J27" s="20" t="s">
        <v>2138</v>
      </c>
      <c r="K27" s="20" t="s">
        <v>2139</v>
      </c>
      <c r="L27" s="22" t="s">
        <v>2140</v>
      </c>
      <c r="M27" s="20" t="s">
        <v>2141</v>
      </c>
    </row>
    <row r="28" ht="44" customHeight="true" spans="1:13">
      <c r="A28" s="19" t="s">
        <v>2189</v>
      </c>
      <c r="B28" s="20" t="s">
        <v>2132</v>
      </c>
      <c r="C28" s="20" t="s">
        <v>2133</v>
      </c>
      <c r="D28" s="20" t="s">
        <v>2134</v>
      </c>
      <c r="E28" s="22" t="s">
        <v>2135</v>
      </c>
      <c r="F28" s="20" t="s">
        <v>2136</v>
      </c>
      <c r="G28" s="20" t="s">
        <v>2025</v>
      </c>
      <c r="H28" s="23">
        <v>1848.23</v>
      </c>
      <c r="I28" s="20" t="s">
        <v>2137</v>
      </c>
      <c r="J28" s="20" t="s">
        <v>2138</v>
      </c>
      <c r="K28" s="20" t="s">
        <v>2139</v>
      </c>
      <c r="L28" s="22" t="s">
        <v>2140</v>
      </c>
      <c r="M28" s="20" t="s">
        <v>2141</v>
      </c>
    </row>
    <row r="29" ht="44" customHeight="true" spans="1:13">
      <c r="A29" s="19" t="s">
        <v>2190</v>
      </c>
      <c r="B29" s="20" t="s">
        <v>2132</v>
      </c>
      <c r="C29" s="20" t="s">
        <v>2133</v>
      </c>
      <c r="D29" s="20" t="s">
        <v>2134</v>
      </c>
      <c r="E29" s="22" t="s">
        <v>2135</v>
      </c>
      <c r="F29" s="20" t="s">
        <v>2136</v>
      </c>
      <c r="G29" s="20" t="s">
        <v>2025</v>
      </c>
      <c r="H29" s="23">
        <v>1261.35</v>
      </c>
      <c r="I29" s="20" t="s">
        <v>2137</v>
      </c>
      <c r="J29" s="20" t="s">
        <v>2138</v>
      </c>
      <c r="K29" s="20" t="s">
        <v>2139</v>
      </c>
      <c r="L29" s="22" t="s">
        <v>2140</v>
      </c>
      <c r="M29" s="20" t="s">
        <v>2141</v>
      </c>
    </row>
  </sheetData>
  <mergeCells count="2">
    <mergeCell ref="A1:B1"/>
    <mergeCell ref="A2:N2"/>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showGridLines="0" tabSelected="1" topLeftCell="A3" workbookViewId="0">
      <selection activeCell="B8" sqref="B8:F8"/>
    </sheetView>
  </sheetViews>
  <sheetFormatPr defaultColWidth="8" defaultRowHeight="13.5" outlineLevelCol="6"/>
  <cols>
    <col min="1" max="6" width="18.75" style="1" customWidth="true"/>
    <col min="7" max="8" width="8" style="1" customWidth="true"/>
    <col min="9" max="16384" width="8" style="1"/>
  </cols>
  <sheetData>
    <row r="1" spans="1:1">
      <c r="A1" s="2" t="s">
        <v>2191</v>
      </c>
    </row>
    <row r="2" ht="35.25" customHeight="true" spans="1:7">
      <c r="A2" s="3" t="s">
        <v>2192</v>
      </c>
      <c r="B2" s="4"/>
      <c r="C2" s="4"/>
      <c r="D2" s="4"/>
      <c r="E2" s="4"/>
      <c r="F2" s="4"/>
      <c r="G2" s="11"/>
    </row>
    <row r="3" ht="18.75" customHeight="true" spans="1:6">
      <c r="A3" s="5" t="s">
        <v>3</v>
      </c>
      <c r="B3" s="5"/>
      <c r="C3" s="5"/>
      <c r="D3" s="5"/>
      <c r="E3" s="5"/>
      <c r="F3" s="5"/>
    </row>
    <row r="4" ht="18.75" customHeight="true" spans="1:6">
      <c r="A4" s="6" t="s">
        <v>1500</v>
      </c>
      <c r="B4" s="7" t="s">
        <v>2193</v>
      </c>
      <c r="C4" s="7"/>
      <c r="D4" s="7"/>
      <c r="E4" s="7"/>
      <c r="F4" s="7"/>
    </row>
    <row r="5" ht="18.75" customHeight="true" spans="1:6">
      <c r="A5" s="6" t="s">
        <v>2194</v>
      </c>
      <c r="B5" s="7" t="s">
        <v>2195</v>
      </c>
      <c r="C5" s="7"/>
      <c r="D5" s="6" t="s">
        <v>2196</v>
      </c>
      <c r="E5" s="7" t="s">
        <v>2197</v>
      </c>
      <c r="F5" s="7"/>
    </row>
    <row r="6" ht="18.75" customHeight="true" spans="1:6">
      <c r="A6" s="6" t="s">
        <v>2198</v>
      </c>
      <c r="B6" s="7" t="s">
        <v>2199</v>
      </c>
      <c r="C6" s="7"/>
      <c r="D6" s="6" t="s">
        <v>2200</v>
      </c>
      <c r="E6" s="7" t="s">
        <v>2201</v>
      </c>
      <c r="F6" s="7"/>
    </row>
    <row r="7" ht="18.75" customHeight="true" spans="1:6">
      <c r="A7" s="6" t="s">
        <v>2202</v>
      </c>
      <c r="B7" s="7" t="s">
        <v>2203</v>
      </c>
      <c r="C7" s="7"/>
      <c r="D7" s="6" t="s">
        <v>2204</v>
      </c>
      <c r="E7" s="12">
        <v>2777.996912</v>
      </c>
      <c r="F7" s="12"/>
    </row>
    <row r="8" ht="112.5" customHeight="true" spans="1:6">
      <c r="A8" s="8" t="s">
        <v>2205</v>
      </c>
      <c r="B8" s="9" t="s">
        <v>2206</v>
      </c>
      <c r="C8" s="9"/>
      <c r="D8" s="9"/>
      <c r="E8" s="9"/>
      <c r="F8" s="9"/>
    </row>
    <row r="9" ht="18.75" customHeight="true" spans="1:6">
      <c r="A9" s="6" t="s">
        <v>2207</v>
      </c>
      <c r="B9" s="6" t="s">
        <v>2208</v>
      </c>
      <c r="C9" s="6" t="s">
        <v>2209</v>
      </c>
      <c r="D9" s="6"/>
      <c r="E9" s="6"/>
      <c r="F9" s="6" t="s">
        <v>2210</v>
      </c>
    </row>
    <row r="10" ht="18.75" customHeight="true" spans="1:6">
      <c r="A10" s="10" t="s">
        <v>2211</v>
      </c>
      <c r="B10" s="10" t="s">
        <v>2212</v>
      </c>
      <c r="C10" s="10" t="s">
        <v>2213</v>
      </c>
      <c r="D10" s="10"/>
      <c r="E10" s="10"/>
      <c r="F10" s="10" t="s">
        <v>2214</v>
      </c>
    </row>
    <row r="11" ht="18.75" customHeight="true" spans="1:6">
      <c r="A11" s="10" t="s">
        <v>2211</v>
      </c>
      <c r="B11" s="10" t="s">
        <v>2212</v>
      </c>
      <c r="C11" s="10" t="s">
        <v>2215</v>
      </c>
      <c r="D11" s="10"/>
      <c r="E11" s="10"/>
      <c r="F11" s="10" t="s">
        <v>2216</v>
      </c>
    </row>
    <row r="12" ht="18.75" customHeight="true" spans="1:6">
      <c r="A12" s="10" t="s">
        <v>2211</v>
      </c>
      <c r="B12" s="10" t="s">
        <v>2212</v>
      </c>
      <c r="C12" s="10" t="s">
        <v>2217</v>
      </c>
      <c r="D12" s="10"/>
      <c r="E12" s="10"/>
      <c r="F12" s="10" t="s">
        <v>2218</v>
      </c>
    </row>
    <row r="13" ht="18.75" customHeight="true" spans="1:6">
      <c r="A13" s="10" t="s">
        <v>2211</v>
      </c>
      <c r="B13" s="10" t="s">
        <v>2212</v>
      </c>
      <c r="C13" s="10" t="s">
        <v>2219</v>
      </c>
      <c r="D13" s="10"/>
      <c r="E13" s="10"/>
      <c r="F13" s="10" t="s">
        <v>2220</v>
      </c>
    </row>
    <row r="14" ht="18.75" customHeight="true" spans="1:6">
      <c r="A14" s="10" t="s">
        <v>2211</v>
      </c>
      <c r="B14" s="10" t="s">
        <v>2212</v>
      </c>
      <c r="C14" s="10" t="s">
        <v>2221</v>
      </c>
      <c r="D14" s="10"/>
      <c r="E14" s="10"/>
      <c r="F14" s="10" t="s">
        <v>2222</v>
      </c>
    </row>
    <row r="15" ht="18.75" customHeight="true" spans="1:6">
      <c r="A15" s="10" t="s">
        <v>2211</v>
      </c>
      <c r="B15" s="10" t="s">
        <v>2212</v>
      </c>
      <c r="C15" s="10" t="s">
        <v>2223</v>
      </c>
      <c r="D15" s="10"/>
      <c r="E15" s="10"/>
      <c r="F15" s="10" t="s">
        <v>2224</v>
      </c>
    </row>
    <row r="16" ht="18.75" customHeight="true" spans="1:6">
      <c r="A16" s="10" t="s">
        <v>2211</v>
      </c>
      <c r="B16" s="10" t="s">
        <v>2225</v>
      </c>
      <c r="C16" s="10" t="s">
        <v>2226</v>
      </c>
      <c r="D16" s="10"/>
      <c r="E16" s="10"/>
      <c r="F16" s="10" t="s">
        <v>2227</v>
      </c>
    </row>
    <row r="17" ht="18.75" customHeight="true" spans="1:6">
      <c r="A17" s="10" t="s">
        <v>2211</v>
      </c>
      <c r="B17" s="10" t="s">
        <v>2225</v>
      </c>
      <c r="C17" s="10" t="s">
        <v>2228</v>
      </c>
      <c r="D17" s="10"/>
      <c r="E17" s="10"/>
      <c r="F17" s="10" t="s">
        <v>2229</v>
      </c>
    </row>
    <row r="18" ht="18.75" customHeight="true" spans="1:6">
      <c r="A18" s="10" t="s">
        <v>2211</v>
      </c>
      <c r="B18" s="10" t="s">
        <v>2225</v>
      </c>
      <c r="C18" s="10" t="s">
        <v>2230</v>
      </c>
      <c r="D18" s="10"/>
      <c r="E18" s="10"/>
      <c r="F18" s="10" t="s">
        <v>2231</v>
      </c>
    </row>
    <row r="19" ht="18.75" customHeight="true" spans="1:6">
      <c r="A19" s="10" t="s">
        <v>2211</v>
      </c>
      <c r="B19" s="10" t="s">
        <v>2232</v>
      </c>
      <c r="C19" s="10" t="s">
        <v>2233</v>
      </c>
      <c r="D19" s="10"/>
      <c r="E19" s="10"/>
      <c r="F19" s="10" t="s">
        <v>2234</v>
      </c>
    </row>
    <row r="20" ht="18.75" customHeight="true" spans="1:6">
      <c r="A20" s="10" t="s">
        <v>2211</v>
      </c>
      <c r="B20" s="10" t="s">
        <v>2232</v>
      </c>
      <c r="C20" s="10" t="s">
        <v>2235</v>
      </c>
      <c r="D20" s="10"/>
      <c r="E20" s="10"/>
      <c r="F20" s="10" t="s">
        <v>2234</v>
      </c>
    </row>
    <row r="21" ht="18.75" customHeight="true" spans="1:6">
      <c r="A21" s="10" t="s">
        <v>2211</v>
      </c>
      <c r="B21" s="10" t="s">
        <v>2236</v>
      </c>
      <c r="C21" s="10" t="s">
        <v>2237</v>
      </c>
      <c r="D21" s="10"/>
      <c r="E21" s="10"/>
      <c r="F21" s="10" t="s">
        <v>2238</v>
      </c>
    </row>
    <row r="22" ht="18.75" customHeight="true" spans="1:6">
      <c r="A22" s="10" t="s">
        <v>2211</v>
      </c>
      <c r="B22" s="10" t="s">
        <v>2236</v>
      </c>
      <c r="C22" s="10" t="s">
        <v>2239</v>
      </c>
      <c r="D22" s="10"/>
      <c r="E22" s="10"/>
      <c r="F22" s="10" t="s">
        <v>2240</v>
      </c>
    </row>
    <row r="23" ht="18.75" customHeight="true" spans="1:6">
      <c r="A23" s="10" t="s">
        <v>2211</v>
      </c>
      <c r="B23" s="10" t="s">
        <v>2236</v>
      </c>
      <c r="C23" s="10" t="s">
        <v>2241</v>
      </c>
      <c r="D23" s="10"/>
      <c r="E23" s="10"/>
      <c r="F23" s="10" t="s">
        <v>2242</v>
      </c>
    </row>
    <row r="24" ht="18.75" customHeight="true" spans="1:6">
      <c r="A24" s="10" t="s">
        <v>2211</v>
      </c>
      <c r="B24" s="10" t="s">
        <v>2236</v>
      </c>
      <c r="C24" s="10" t="s">
        <v>2243</v>
      </c>
      <c r="D24" s="10"/>
      <c r="E24" s="10"/>
      <c r="F24" s="10" t="s">
        <v>2244</v>
      </c>
    </row>
    <row r="25" ht="18.75" customHeight="true" spans="1:6">
      <c r="A25" s="10" t="s">
        <v>2245</v>
      </c>
      <c r="B25" s="10" t="s">
        <v>2246</v>
      </c>
      <c r="C25" s="10" t="s">
        <v>2247</v>
      </c>
      <c r="D25" s="10"/>
      <c r="E25" s="10"/>
      <c r="F25" s="10" t="s">
        <v>2248</v>
      </c>
    </row>
    <row r="26" ht="18.75" customHeight="true" spans="1:6">
      <c r="A26" s="10" t="s">
        <v>2245</v>
      </c>
      <c r="B26" s="10" t="s">
        <v>2246</v>
      </c>
      <c r="C26" s="10" t="s">
        <v>2249</v>
      </c>
      <c r="D26" s="10"/>
      <c r="E26" s="10"/>
      <c r="F26" s="10" t="s">
        <v>2248</v>
      </c>
    </row>
    <row r="27" ht="18.75" customHeight="true" spans="1:6">
      <c r="A27" s="10" t="s">
        <v>2245</v>
      </c>
      <c r="B27" s="10" t="s">
        <v>2250</v>
      </c>
      <c r="C27" s="10" t="s">
        <v>2251</v>
      </c>
      <c r="D27" s="10"/>
      <c r="E27" s="10"/>
      <c r="F27" s="10" t="s">
        <v>2252</v>
      </c>
    </row>
    <row r="28" ht="18.75" customHeight="true" spans="1:6">
      <c r="A28" s="10" t="s">
        <v>2245</v>
      </c>
      <c r="B28" s="10" t="s">
        <v>2250</v>
      </c>
      <c r="C28" s="10" t="s">
        <v>2253</v>
      </c>
      <c r="D28" s="10"/>
      <c r="E28" s="10"/>
      <c r="F28" s="10" t="s">
        <v>2254</v>
      </c>
    </row>
    <row r="29" ht="18.75" customHeight="true" spans="1:6">
      <c r="A29" s="10" t="s">
        <v>2245</v>
      </c>
      <c r="B29" s="10" t="s">
        <v>2250</v>
      </c>
      <c r="C29" s="10" t="s">
        <v>2255</v>
      </c>
      <c r="D29" s="10"/>
      <c r="E29" s="10"/>
      <c r="F29" s="10" t="s">
        <v>2256</v>
      </c>
    </row>
    <row r="30" ht="18.75" customHeight="true" spans="1:6">
      <c r="A30" s="10" t="s">
        <v>2245</v>
      </c>
      <c r="B30" s="10" t="s">
        <v>2257</v>
      </c>
      <c r="C30" s="10" t="s">
        <v>2258</v>
      </c>
      <c r="D30" s="10"/>
      <c r="E30" s="10"/>
      <c r="F30" s="10" t="s">
        <v>2229</v>
      </c>
    </row>
    <row r="31" ht="18.75" customHeight="true" spans="1:6">
      <c r="A31" s="10" t="s">
        <v>2245</v>
      </c>
      <c r="B31" s="10" t="s">
        <v>2257</v>
      </c>
      <c r="C31" s="10" t="s">
        <v>2259</v>
      </c>
      <c r="D31" s="10"/>
      <c r="E31" s="10"/>
      <c r="F31" s="10" t="s">
        <v>2260</v>
      </c>
    </row>
    <row r="32" ht="18.75" customHeight="true" spans="1:6">
      <c r="A32" s="10" t="s">
        <v>2245</v>
      </c>
      <c r="B32" s="10" t="s">
        <v>2261</v>
      </c>
      <c r="C32" s="10" t="s">
        <v>2262</v>
      </c>
      <c r="D32" s="10"/>
      <c r="E32" s="10"/>
      <c r="F32" s="10" t="s">
        <v>2263</v>
      </c>
    </row>
    <row r="33" ht="18.75" customHeight="true" spans="1:6">
      <c r="A33" s="10" t="s">
        <v>2245</v>
      </c>
      <c r="B33" s="10" t="s">
        <v>2261</v>
      </c>
      <c r="C33" s="10" t="s">
        <v>2264</v>
      </c>
      <c r="D33" s="10"/>
      <c r="E33" s="10"/>
      <c r="F33" s="10" t="s">
        <v>2260</v>
      </c>
    </row>
    <row r="34" ht="18.75" customHeight="true" spans="1:6">
      <c r="A34" s="10" t="s">
        <v>2265</v>
      </c>
      <c r="B34" s="10" t="s">
        <v>2266</v>
      </c>
      <c r="C34" s="10" t="s">
        <v>2267</v>
      </c>
      <c r="D34" s="10"/>
      <c r="E34" s="10"/>
      <c r="F34" s="10" t="s">
        <v>2231</v>
      </c>
    </row>
  </sheetData>
  <mergeCells count="46">
    <mergeCell ref="A2:F2"/>
    <mergeCell ref="A3:F3"/>
    <mergeCell ref="B4:F4"/>
    <mergeCell ref="B5:C5"/>
    <mergeCell ref="E5:F5"/>
    <mergeCell ref="B6:C6"/>
    <mergeCell ref="E6:F6"/>
    <mergeCell ref="B7:C7"/>
    <mergeCell ref="E7:F7"/>
    <mergeCell ref="B8:F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A10:A24"/>
    <mergeCell ref="A25:A33"/>
    <mergeCell ref="B10:B15"/>
    <mergeCell ref="B16:B18"/>
    <mergeCell ref="B19:B20"/>
    <mergeCell ref="B21:B24"/>
    <mergeCell ref="B25:B26"/>
    <mergeCell ref="B27:B29"/>
    <mergeCell ref="B30:B31"/>
    <mergeCell ref="B32:B33"/>
  </mergeCells>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D33"/>
  <sheetViews>
    <sheetView showGridLines="0" showZeros="0" zoomScale="85" zoomScaleNormal="85" workbookViewId="0">
      <selection activeCell="E10" sqref="E10"/>
    </sheetView>
  </sheetViews>
  <sheetFormatPr defaultColWidth="7.875" defaultRowHeight="14.25"/>
  <cols>
    <col min="1" max="1" width="42.1333333333333" style="127" customWidth="true"/>
    <col min="2" max="2" width="10.8333333333333" style="127" customWidth="true"/>
    <col min="3" max="3" width="11" style="127" customWidth="true"/>
    <col min="4" max="4" width="10.1666666666667" style="127" customWidth="true"/>
    <col min="5" max="5" width="39.3333333333333" style="127" customWidth="true"/>
    <col min="6" max="6" width="10.5" style="127" customWidth="true"/>
    <col min="7" max="7" width="11.3333333333333" style="127" customWidth="true"/>
    <col min="8" max="8" width="9.83333333333333" style="127" customWidth="true"/>
    <col min="9" max="9" width="42.1666666666667" style="127" hidden="true" customWidth="true"/>
    <col min="10" max="10" width="10.375" style="127" hidden="true" customWidth="true"/>
    <col min="11" max="11" width="10.8333333333333" style="127" hidden="true" customWidth="true"/>
    <col min="12" max="12" width="11.1666666666667" style="127" hidden="true" customWidth="true"/>
    <col min="13" max="13" width="42" style="127" hidden="true" customWidth="true"/>
    <col min="14" max="14" width="10.375" style="127" hidden="true" customWidth="true"/>
    <col min="15" max="15" width="11.5" style="127" hidden="true" customWidth="true"/>
    <col min="16" max="16" width="12.3333333333333" style="127" hidden="true" customWidth="true"/>
    <col min="17" max="17" width="43.8333333333333" style="127" hidden="true" customWidth="true"/>
    <col min="18" max="19" width="10.375" style="127" hidden="true" customWidth="true"/>
    <col min="20" max="20" width="13.6666666666667" style="127" hidden="true" customWidth="true"/>
    <col min="21" max="21" width="43" style="127" hidden="true" customWidth="true"/>
    <col min="22" max="24" width="10.375" style="127" hidden="true" customWidth="true"/>
    <col min="25" max="25" width="46.6666666666667" style="127" hidden="true" customWidth="true"/>
    <col min="26" max="26" width="10.375" style="127" hidden="true" customWidth="true"/>
    <col min="27" max="27" width="11.6666666666667" style="127" hidden="true" customWidth="true"/>
    <col min="28" max="28" width="10.375" style="127" hidden="true" customWidth="true"/>
    <col min="29" max="29" width="44.8333333333333" style="127" hidden="true" customWidth="true"/>
    <col min="30" max="30" width="10.375" style="127" hidden="true" customWidth="true"/>
    <col min="31" max="31" width="12" style="127" hidden="true" customWidth="true"/>
    <col min="32" max="32" width="10.375" style="127" hidden="true" customWidth="true"/>
    <col min="33" max="33" width="43.5" style="127" hidden="true" customWidth="true"/>
    <col min="34" max="36" width="10.375" style="127" hidden="true" customWidth="true"/>
    <col min="37" max="37" width="44.1666666666667" style="127" hidden="true" customWidth="true"/>
    <col min="38" max="40" width="10.375" style="127" hidden="true" customWidth="true"/>
    <col min="41" max="41" width="43.1666666666667" style="127" hidden="true" customWidth="true"/>
    <col min="42" max="44" width="10.375" style="127" hidden="true" customWidth="true"/>
    <col min="45" max="45" width="44.1666666666667" style="127" hidden="true" customWidth="true"/>
    <col min="46" max="47" width="10.375" style="127" hidden="true" customWidth="true"/>
    <col min="48" max="48" width="15.1666666666667" style="127" hidden="true" customWidth="true"/>
    <col min="49" max="49" width="43.3333333333333" style="127" hidden="true" customWidth="true"/>
    <col min="50" max="51" width="9.25" style="127" hidden="true" customWidth="true"/>
    <col min="52" max="52" width="9.6" style="127" hidden="true" customWidth="true"/>
    <col min="53" max="53" width="42.1666666666667" style="127" hidden="true" customWidth="true"/>
    <col min="54" max="54" width="9.25" style="127" hidden="true" customWidth="true"/>
    <col min="55" max="56" width="9.375" style="127" hidden="true" customWidth="true"/>
    <col min="57" max="16384" width="7.875" style="127"/>
  </cols>
  <sheetData>
    <row r="1" ht="19.5" customHeight="true" spans="1:56">
      <c r="A1" s="476" t="s">
        <v>166</v>
      </c>
      <c r="B1" s="476"/>
      <c r="C1" s="476"/>
      <c r="D1" s="476"/>
      <c r="E1" s="161"/>
      <c r="F1" s="161"/>
      <c r="G1" s="161"/>
      <c r="H1" s="161"/>
      <c r="I1" s="476" t="s">
        <v>167</v>
      </c>
      <c r="J1" s="476"/>
      <c r="K1" s="161"/>
      <c r="L1" s="161"/>
      <c r="M1" s="161"/>
      <c r="N1" s="161"/>
      <c r="O1" s="161"/>
      <c r="Q1" s="476" t="s">
        <v>167</v>
      </c>
      <c r="R1" s="476"/>
      <c r="S1" s="476"/>
      <c r="T1" s="476"/>
      <c r="U1" s="161"/>
      <c r="V1" s="161"/>
      <c r="W1" s="161"/>
      <c r="X1" s="161"/>
      <c r="Y1" s="476" t="s">
        <v>167</v>
      </c>
      <c r="Z1" s="476"/>
      <c r="AA1" s="476"/>
      <c r="AB1" s="476"/>
      <c r="AC1" s="161"/>
      <c r="AD1" s="161"/>
      <c r="AE1" s="161"/>
      <c r="AF1" s="161"/>
      <c r="AG1" s="476" t="s">
        <v>168</v>
      </c>
      <c r="AH1" s="476"/>
      <c r="AI1" s="476"/>
      <c r="AJ1" s="476"/>
      <c r="AK1" s="161"/>
      <c r="AL1" s="161"/>
      <c r="AM1" s="161"/>
      <c r="AN1" s="161"/>
      <c r="AO1" s="493" t="s">
        <v>168</v>
      </c>
      <c r="AP1" s="493"/>
      <c r="AQ1" s="493"/>
      <c r="AR1" s="493"/>
      <c r="AS1" s="493"/>
      <c r="AT1" s="493"/>
      <c r="AU1" s="493"/>
      <c r="AV1" s="493"/>
      <c r="AW1" s="476" t="s">
        <v>168</v>
      </c>
      <c r="AX1" s="476"/>
      <c r="AY1" s="476"/>
      <c r="AZ1" s="476"/>
      <c r="BA1" s="161"/>
      <c r="BB1" s="161"/>
      <c r="BC1" s="161"/>
      <c r="BD1" s="161"/>
    </row>
    <row r="2" ht="27.75" customHeight="true" spans="1:56">
      <c r="A2" s="477" t="s">
        <v>169</v>
      </c>
      <c r="B2" s="477"/>
      <c r="C2" s="477"/>
      <c r="D2" s="477"/>
      <c r="E2" s="477"/>
      <c r="F2" s="477"/>
      <c r="G2" s="477"/>
      <c r="H2" s="477"/>
      <c r="I2" s="477" t="s">
        <v>170</v>
      </c>
      <c r="J2" s="477"/>
      <c r="K2" s="477"/>
      <c r="L2" s="477"/>
      <c r="M2" s="477"/>
      <c r="N2" s="477"/>
      <c r="O2" s="477"/>
      <c r="P2" s="477"/>
      <c r="Q2" s="488" t="s">
        <v>171</v>
      </c>
      <c r="R2" s="488"/>
      <c r="S2" s="488"/>
      <c r="T2" s="488"/>
      <c r="U2" s="488"/>
      <c r="V2" s="488"/>
      <c r="W2" s="488"/>
      <c r="X2" s="488"/>
      <c r="Y2" s="477" t="s">
        <v>172</v>
      </c>
      <c r="Z2" s="477"/>
      <c r="AA2" s="477"/>
      <c r="AB2" s="477"/>
      <c r="AC2" s="477"/>
      <c r="AD2" s="477"/>
      <c r="AE2" s="477"/>
      <c r="AF2" s="477"/>
      <c r="AG2" s="477" t="s">
        <v>173</v>
      </c>
      <c r="AH2" s="477"/>
      <c r="AI2" s="477"/>
      <c r="AJ2" s="477"/>
      <c r="AK2" s="477"/>
      <c r="AL2" s="477"/>
      <c r="AM2" s="477"/>
      <c r="AN2" s="477"/>
      <c r="AO2" s="494" t="s">
        <v>174</v>
      </c>
      <c r="AP2" s="494"/>
      <c r="AQ2" s="494"/>
      <c r="AR2" s="494"/>
      <c r="AS2" s="494"/>
      <c r="AT2" s="494"/>
      <c r="AU2" s="494"/>
      <c r="AV2" s="494"/>
      <c r="AW2" s="477" t="s">
        <v>175</v>
      </c>
      <c r="AX2" s="477"/>
      <c r="AY2" s="477"/>
      <c r="AZ2" s="477"/>
      <c r="BA2" s="477"/>
      <c r="BB2" s="477"/>
      <c r="BC2" s="477"/>
      <c r="BD2" s="477"/>
    </row>
    <row r="3" ht="30" customHeight="true" spans="1:56">
      <c r="A3" s="476"/>
      <c r="B3" s="476"/>
      <c r="C3" s="476"/>
      <c r="D3" s="476"/>
      <c r="E3" s="161"/>
      <c r="F3" s="161"/>
      <c r="G3" s="161"/>
      <c r="H3" s="161" t="s">
        <v>3</v>
      </c>
      <c r="I3" s="476"/>
      <c r="J3" s="476"/>
      <c r="K3" s="161"/>
      <c r="L3" s="161"/>
      <c r="M3" s="161"/>
      <c r="N3" s="161"/>
      <c r="O3" s="161" t="s">
        <v>3</v>
      </c>
      <c r="Q3" s="476"/>
      <c r="R3" s="476"/>
      <c r="S3" s="476"/>
      <c r="T3" s="476"/>
      <c r="U3" s="161"/>
      <c r="V3" s="161"/>
      <c r="W3" s="161" t="s">
        <v>3</v>
      </c>
      <c r="X3" s="161"/>
      <c r="Y3" s="476"/>
      <c r="Z3" s="476"/>
      <c r="AA3" s="476"/>
      <c r="AB3" s="476"/>
      <c r="AC3" s="161"/>
      <c r="AD3" s="161"/>
      <c r="AE3" s="161"/>
      <c r="AF3" s="161"/>
      <c r="AG3" s="476"/>
      <c r="AH3" s="476"/>
      <c r="AI3" s="476"/>
      <c r="AJ3" s="476"/>
      <c r="AK3" s="161"/>
      <c r="AL3" s="161"/>
      <c r="AM3" s="161"/>
      <c r="AN3" s="161"/>
      <c r="AO3" s="493"/>
      <c r="AP3" s="493"/>
      <c r="AQ3" s="493"/>
      <c r="AR3" s="493"/>
      <c r="AS3" s="493"/>
      <c r="AT3" s="493"/>
      <c r="AU3" s="493"/>
      <c r="AV3" s="493"/>
      <c r="AW3" s="476"/>
      <c r="AX3" s="476"/>
      <c r="AY3" s="476"/>
      <c r="AZ3" s="476"/>
      <c r="BA3" s="161"/>
      <c r="BB3" s="161"/>
      <c r="BC3" s="161"/>
      <c r="BD3" s="161"/>
    </row>
    <row r="4" ht="27.95" customHeight="true" spans="1:56">
      <c r="A4" s="478" t="s">
        <v>176</v>
      </c>
      <c r="B4" s="478"/>
      <c r="C4" s="478"/>
      <c r="D4" s="478"/>
      <c r="E4" s="478" t="s">
        <v>73</v>
      </c>
      <c r="F4" s="478"/>
      <c r="G4" s="478"/>
      <c r="H4" s="478"/>
      <c r="I4" s="478" t="s">
        <v>176</v>
      </c>
      <c r="J4" s="478"/>
      <c r="K4" s="478"/>
      <c r="L4" s="478"/>
      <c r="M4" s="478" t="s">
        <v>73</v>
      </c>
      <c r="N4" s="478"/>
      <c r="O4" s="478"/>
      <c r="P4" s="478"/>
      <c r="Q4" s="478" t="s">
        <v>176</v>
      </c>
      <c r="R4" s="478"/>
      <c r="S4" s="478"/>
      <c r="T4" s="478"/>
      <c r="U4" s="478" t="s">
        <v>73</v>
      </c>
      <c r="V4" s="478"/>
      <c r="W4" s="478"/>
      <c r="X4" s="478"/>
      <c r="Y4" s="478" t="s">
        <v>176</v>
      </c>
      <c r="Z4" s="478"/>
      <c r="AA4" s="478"/>
      <c r="AB4" s="478"/>
      <c r="AC4" s="478" t="s">
        <v>73</v>
      </c>
      <c r="AD4" s="478"/>
      <c r="AE4" s="478"/>
      <c r="AF4" s="478"/>
      <c r="AG4" s="478" t="s">
        <v>176</v>
      </c>
      <c r="AH4" s="478"/>
      <c r="AI4" s="478"/>
      <c r="AJ4" s="478"/>
      <c r="AK4" s="478" t="s">
        <v>73</v>
      </c>
      <c r="AL4" s="478"/>
      <c r="AM4" s="478"/>
      <c r="AN4" s="478"/>
      <c r="AO4" s="478" t="s">
        <v>176</v>
      </c>
      <c r="AP4" s="478"/>
      <c r="AQ4" s="478"/>
      <c r="AR4" s="478"/>
      <c r="AS4" s="478" t="s">
        <v>73</v>
      </c>
      <c r="AT4" s="478"/>
      <c r="AU4" s="478"/>
      <c r="AV4" s="478"/>
      <c r="AW4" s="478" t="s">
        <v>176</v>
      </c>
      <c r="AX4" s="478"/>
      <c r="AY4" s="478"/>
      <c r="AZ4" s="478"/>
      <c r="BA4" s="478" t="s">
        <v>73</v>
      </c>
      <c r="BB4" s="478"/>
      <c r="BC4" s="478"/>
      <c r="BD4" s="478"/>
    </row>
    <row r="5" ht="44.1" customHeight="true" spans="1:56">
      <c r="A5" s="478" t="s">
        <v>4</v>
      </c>
      <c r="B5" s="62" t="s">
        <v>177</v>
      </c>
      <c r="C5" s="62" t="s">
        <v>13</v>
      </c>
      <c r="D5" s="62" t="s">
        <v>14</v>
      </c>
      <c r="E5" s="478" t="s">
        <v>4</v>
      </c>
      <c r="F5" s="62" t="s">
        <v>177</v>
      </c>
      <c r="G5" s="62" t="s">
        <v>13</v>
      </c>
      <c r="H5" s="62" t="s">
        <v>14</v>
      </c>
      <c r="I5" s="478" t="s">
        <v>4</v>
      </c>
      <c r="J5" s="62" t="s">
        <v>177</v>
      </c>
      <c r="K5" s="62" t="s">
        <v>13</v>
      </c>
      <c r="L5" s="62" t="s">
        <v>14</v>
      </c>
      <c r="M5" s="478" t="s">
        <v>4</v>
      </c>
      <c r="N5" s="62" t="s">
        <v>177</v>
      </c>
      <c r="O5" s="62" t="s">
        <v>13</v>
      </c>
      <c r="P5" s="62" t="s">
        <v>14</v>
      </c>
      <c r="Q5" s="478" t="s">
        <v>4</v>
      </c>
      <c r="R5" s="62" t="s">
        <v>177</v>
      </c>
      <c r="S5" s="62" t="s">
        <v>13</v>
      </c>
      <c r="T5" s="62" t="s">
        <v>14</v>
      </c>
      <c r="U5" s="478" t="s">
        <v>4</v>
      </c>
      <c r="V5" s="62" t="s">
        <v>177</v>
      </c>
      <c r="W5" s="62" t="s">
        <v>13</v>
      </c>
      <c r="X5" s="62" t="s">
        <v>14</v>
      </c>
      <c r="Y5" s="478" t="s">
        <v>4</v>
      </c>
      <c r="Z5" s="62" t="s">
        <v>177</v>
      </c>
      <c r="AA5" s="62" t="s">
        <v>13</v>
      </c>
      <c r="AB5" s="62" t="s">
        <v>14</v>
      </c>
      <c r="AC5" s="478" t="s">
        <v>4</v>
      </c>
      <c r="AD5" s="62" t="s">
        <v>177</v>
      </c>
      <c r="AE5" s="62" t="s">
        <v>13</v>
      </c>
      <c r="AF5" s="62" t="s">
        <v>14</v>
      </c>
      <c r="AG5" s="478" t="s">
        <v>4</v>
      </c>
      <c r="AH5" s="62" t="s">
        <v>177</v>
      </c>
      <c r="AI5" s="62" t="s">
        <v>13</v>
      </c>
      <c r="AJ5" s="62" t="s">
        <v>14</v>
      </c>
      <c r="AK5" s="478" t="s">
        <v>4</v>
      </c>
      <c r="AL5" s="62" t="s">
        <v>177</v>
      </c>
      <c r="AM5" s="62" t="s">
        <v>13</v>
      </c>
      <c r="AN5" s="62" t="s">
        <v>14</v>
      </c>
      <c r="AO5" s="478" t="s">
        <v>4</v>
      </c>
      <c r="AP5" s="62" t="s">
        <v>177</v>
      </c>
      <c r="AQ5" s="62" t="s">
        <v>13</v>
      </c>
      <c r="AR5" s="62" t="s">
        <v>14</v>
      </c>
      <c r="AS5" s="478" t="s">
        <v>4</v>
      </c>
      <c r="AT5" s="62" t="s">
        <v>177</v>
      </c>
      <c r="AU5" s="62" t="s">
        <v>13</v>
      </c>
      <c r="AV5" s="62" t="s">
        <v>14</v>
      </c>
      <c r="AW5" s="478" t="s">
        <v>4</v>
      </c>
      <c r="AX5" s="62" t="s">
        <v>177</v>
      </c>
      <c r="AY5" s="62" t="s">
        <v>13</v>
      </c>
      <c r="AZ5" s="62" t="s">
        <v>14</v>
      </c>
      <c r="BA5" s="478" t="s">
        <v>4</v>
      </c>
      <c r="BB5" s="62" t="s">
        <v>177</v>
      </c>
      <c r="BC5" s="62" t="s">
        <v>13</v>
      </c>
      <c r="BD5" s="62" t="s">
        <v>14</v>
      </c>
    </row>
    <row r="6" ht="27.95" customHeight="true" spans="1:56">
      <c r="A6" s="479" t="s">
        <v>178</v>
      </c>
      <c r="B6" s="480">
        <f t="shared" ref="B6:G6" si="0">J6+R6+Z6+AH6+AP6+AX6</f>
        <v>120</v>
      </c>
      <c r="C6" s="480">
        <f t="shared" si="0"/>
        <v>20</v>
      </c>
      <c r="D6" s="256">
        <f>(C6/B6-1)*100</f>
        <v>-83.3333333333333</v>
      </c>
      <c r="E6" s="484" t="s">
        <v>179</v>
      </c>
      <c r="F6" s="480">
        <f t="shared" si="0"/>
        <v>0</v>
      </c>
      <c r="G6" s="480">
        <f t="shared" si="0"/>
        <v>1665</v>
      </c>
      <c r="H6" s="256">
        <v>0</v>
      </c>
      <c r="I6" s="479" t="s">
        <v>178</v>
      </c>
      <c r="J6" s="480">
        <v>100</v>
      </c>
      <c r="K6" s="480"/>
      <c r="L6" s="256">
        <f>(K6/J6-1)*100</f>
        <v>-100</v>
      </c>
      <c r="M6" s="484" t="s">
        <v>179</v>
      </c>
      <c r="N6" s="480"/>
      <c r="O6" s="480"/>
      <c r="P6" s="256">
        <v>0</v>
      </c>
      <c r="Q6" s="479" t="s">
        <v>178</v>
      </c>
      <c r="R6" s="480"/>
      <c r="S6" s="480"/>
      <c r="T6" s="256"/>
      <c r="U6" s="484" t="s">
        <v>179</v>
      </c>
      <c r="V6" s="480"/>
      <c r="W6" s="480">
        <v>1665</v>
      </c>
      <c r="X6" s="256">
        <v>0</v>
      </c>
      <c r="Y6" s="479" t="s">
        <v>178</v>
      </c>
      <c r="Z6" s="480"/>
      <c r="AA6" s="480"/>
      <c r="AB6" s="256" t="e">
        <f>(AA6/Z6-1)*100</f>
        <v>#DIV/0!</v>
      </c>
      <c r="AC6" s="484" t="s">
        <v>179</v>
      </c>
      <c r="AD6" s="480"/>
      <c r="AE6" s="480"/>
      <c r="AF6" s="256">
        <v>0</v>
      </c>
      <c r="AG6" s="479" t="s">
        <v>178</v>
      </c>
      <c r="AH6" s="480"/>
      <c r="AI6" s="480"/>
      <c r="AJ6" s="256"/>
      <c r="AK6" s="484" t="s">
        <v>179</v>
      </c>
      <c r="AL6" s="480"/>
      <c r="AM6" s="480"/>
      <c r="AN6" s="256">
        <v>0</v>
      </c>
      <c r="AO6" s="479" t="s">
        <v>178</v>
      </c>
      <c r="AP6" s="480"/>
      <c r="AQ6" s="480"/>
      <c r="AR6" s="256" t="e">
        <f>(AQ6/AP6-1)*100</f>
        <v>#DIV/0!</v>
      </c>
      <c r="AS6" s="484" t="s">
        <v>179</v>
      </c>
      <c r="AT6" s="480"/>
      <c r="AU6" s="480"/>
      <c r="AV6" s="256">
        <v>0</v>
      </c>
      <c r="AW6" s="479" t="s">
        <v>178</v>
      </c>
      <c r="AX6" s="480">
        <v>20</v>
      </c>
      <c r="AY6" s="480">
        <v>20</v>
      </c>
      <c r="AZ6" s="256">
        <f>(AY6/AX6-1)*100</f>
        <v>0</v>
      </c>
      <c r="BA6" s="484" t="s">
        <v>179</v>
      </c>
      <c r="BB6" s="480"/>
      <c r="BC6" s="480"/>
      <c r="BD6" s="256">
        <v>0</v>
      </c>
    </row>
    <row r="7" ht="27.95" customHeight="true" spans="1:56">
      <c r="A7" s="479" t="s">
        <v>180</v>
      </c>
      <c r="B7" s="480">
        <f t="shared" ref="B7:G7" si="1">J7+R7+Z7+AH7+AP7+AX7</f>
        <v>71090</v>
      </c>
      <c r="C7" s="480">
        <f t="shared" si="1"/>
        <v>89496</v>
      </c>
      <c r="D7" s="256">
        <f>(C7/B7-1)*100</f>
        <v>25.8911239274159</v>
      </c>
      <c r="E7" s="484" t="s">
        <v>181</v>
      </c>
      <c r="F7" s="480">
        <f t="shared" si="1"/>
        <v>1728.74</v>
      </c>
      <c r="G7" s="480">
        <f t="shared" si="1"/>
        <v>2313</v>
      </c>
      <c r="H7" s="256">
        <v>0</v>
      </c>
      <c r="I7" s="479" t="s">
        <v>180</v>
      </c>
      <c r="J7" s="480">
        <f>54900-4404</f>
        <v>50496</v>
      </c>
      <c r="K7" s="480">
        <v>65596</v>
      </c>
      <c r="L7" s="256">
        <v>0</v>
      </c>
      <c r="M7" s="484" t="s">
        <v>181</v>
      </c>
      <c r="N7" s="480"/>
      <c r="O7" s="480"/>
      <c r="P7" s="256">
        <v>0</v>
      </c>
      <c r="Q7" s="479" t="s">
        <v>180</v>
      </c>
      <c r="R7" s="480"/>
      <c r="S7" s="480"/>
      <c r="T7" s="256"/>
      <c r="U7" s="484" t="s">
        <v>181</v>
      </c>
      <c r="V7" s="480">
        <v>499</v>
      </c>
      <c r="W7" s="480">
        <v>1313</v>
      </c>
      <c r="X7" s="256">
        <v>0</v>
      </c>
      <c r="Y7" s="479" t="s">
        <v>180</v>
      </c>
      <c r="Z7" s="480">
        <v>10000</v>
      </c>
      <c r="AA7" s="480">
        <v>10000</v>
      </c>
      <c r="AB7" s="256">
        <v>0</v>
      </c>
      <c r="AC7" s="484" t="s">
        <v>181</v>
      </c>
      <c r="AD7" s="480">
        <v>1000</v>
      </c>
      <c r="AE7" s="480">
        <v>1000</v>
      </c>
      <c r="AF7" s="256">
        <v>0</v>
      </c>
      <c r="AG7" s="479" t="s">
        <v>180</v>
      </c>
      <c r="AH7" s="480">
        <v>3293</v>
      </c>
      <c r="AI7" s="480">
        <v>7000</v>
      </c>
      <c r="AJ7" s="491">
        <f>AI7/AH7-1</f>
        <v>1.12572122684482</v>
      </c>
      <c r="AK7" s="484" t="s">
        <v>181</v>
      </c>
      <c r="AL7" s="480">
        <v>16.74</v>
      </c>
      <c r="AM7" s="480"/>
      <c r="AN7" s="256">
        <v>0</v>
      </c>
      <c r="AO7" s="479" t="s">
        <v>180</v>
      </c>
      <c r="AP7" s="480">
        <v>2680</v>
      </c>
      <c r="AQ7" s="480">
        <v>2500</v>
      </c>
      <c r="AR7" s="256">
        <v>0</v>
      </c>
      <c r="AS7" s="484" t="s">
        <v>181</v>
      </c>
      <c r="AT7" s="480">
        <v>14</v>
      </c>
      <c r="AU7" s="480"/>
      <c r="AV7" s="256">
        <v>0</v>
      </c>
      <c r="AW7" s="479" t="s">
        <v>180</v>
      </c>
      <c r="AX7" s="480">
        <v>4621</v>
      </c>
      <c r="AY7" s="480">
        <v>4400</v>
      </c>
      <c r="AZ7" s="256">
        <v>0</v>
      </c>
      <c r="BA7" s="484" t="s">
        <v>181</v>
      </c>
      <c r="BB7" s="480">
        <v>199</v>
      </c>
      <c r="BC7" s="480"/>
      <c r="BD7" s="256">
        <v>0</v>
      </c>
    </row>
    <row r="8" ht="27.95" hidden="true" customHeight="true" spans="1:56">
      <c r="A8" s="479" t="s">
        <v>182</v>
      </c>
      <c r="B8" s="480">
        <f t="shared" ref="B8:G8" si="2">J8+R8+Z8+AH8+AP8+AX8</f>
        <v>0</v>
      </c>
      <c r="C8" s="480">
        <f t="shared" si="2"/>
        <v>0</v>
      </c>
      <c r="D8" s="256">
        <v>0</v>
      </c>
      <c r="E8" s="484" t="s">
        <v>183</v>
      </c>
      <c r="F8" s="480">
        <f t="shared" si="2"/>
        <v>0</v>
      </c>
      <c r="G8" s="480">
        <f t="shared" si="2"/>
        <v>0</v>
      </c>
      <c r="H8" s="256">
        <v>0</v>
      </c>
      <c r="I8" s="479" t="s">
        <v>182</v>
      </c>
      <c r="J8" s="480"/>
      <c r="K8" s="480"/>
      <c r="L8" s="256">
        <v>0</v>
      </c>
      <c r="M8" s="484" t="s">
        <v>183</v>
      </c>
      <c r="N8" s="480"/>
      <c r="O8" s="480"/>
      <c r="P8" s="256">
        <v>0</v>
      </c>
      <c r="Q8" s="479" t="s">
        <v>182</v>
      </c>
      <c r="R8" s="480"/>
      <c r="S8" s="480"/>
      <c r="T8" s="256"/>
      <c r="U8" s="484" t="s">
        <v>183</v>
      </c>
      <c r="V8" s="480"/>
      <c r="W8" s="480"/>
      <c r="X8" s="256">
        <v>0</v>
      </c>
      <c r="Y8" s="479" t="s">
        <v>182</v>
      </c>
      <c r="Z8" s="480"/>
      <c r="AA8" s="480"/>
      <c r="AB8" s="256">
        <v>0</v>
      </c>
      <c r="AC8" s="484" t="s">
        <v>183</v>
      </c>
      <c r="AD8" s="480"/>
      <c r="AE8" s="480"/>
      <c r="AF8" s="256">
        <v>0</v>
      </c>
      <c r="AG8" s="479" t="s">
        <v>182</v>
      </c>
      <c r="AH8" s="480"/>
      <c r="AI8" s="480"/>
      <c r="AJ8" s="256">
        <v>0</v>
      </c>
      <c r="AK8" s="484" t="s">
        <v>183</v>
      </c>
      <c r="AL8" s="480"/>
      <c r="AM8" s="480"/>
      <c r="AN8" s="256">
        <v>0</v>
      </c>
      <c r="AO8" s="479" t="s">
        <v>182</v>
      </c>
      <c r="AP8" s="480"/>
      <c r="AQ8" s="480"/>
      <c r="AR8" s="256">
        <v>0</v>
      </c>
      <c r="AS8" s="484" t="s">
        <v>183</v>
      </c>
      <c r="AT8" s="480"/>
      <c r="AU8" s="480"/>
      <c r="AV8" s="256">
        <v>0</v>
      </c>
      <c r="AW8" s="479" t="s">
        <v>182</v>
      </c>
      <c r="AX8" s="480"/>
      <c r="AY8" s="480"/>
      <c r="AZ8" s="256">
        <v>0</v>
      </c>
      <c r="BA8" s="484" t="s">
        <v>183</v>
      </c>
      <c r="BB8" s="480"/>
      <c r="BC8" s="480"/>
      <c r="BD8" s="256">
        <v>0</v>
      </c>
    </row>
    <row r="9" ht="27.95" customHeight="true" spans="1:56">
      <c r="A9" s="479" t="s">
        <v>182</v>
      </c>
      <c r="B9" s="480">
        <f t="shared" ref="B9:G9" si="3">J9+R9+Z9+AH9+AP9+AX9</f>
        <v>860</v>
      </c>
      <c r="C9" s="480">
        <f t="shared" si="3"/>
        <v>1100</v>
      </c>
      <c r="D9" s="256">
        <f>(C9/B9-1)*100</f>
        <v>27.9069767441861</v>
      </c>
      <c r="E9" s="484" t="s">
        <v>184</v>
      </c>
      <c r="F9" s="480">
        <f t="shared" si="3"/>
        <v>51657</v>
      </c>
      <c r="G9" s="480">
        <f t="shared" si="3"/>
        <v>16987</v>
      </c>
      <c r="H9" s="256">
        <f>(G9/F9-1)*100</f>
        <v>-67.1157829529396</v>
      </c>
      <c r="I9" s="479" t="s">
        <v>185</v>
      </c>
      <c r="J9" s="480">
        <v>700</v>
      </c>
      <c r="K9" s="480">
        <v>900</v>
      </c>
      <c r="L9" s="256">
        <f>(K9/J9-1)*100</f>
        <v>28.5714285714286</v>
      </c>
      <c r="M9" s="484" t="s">
        <v>184</v>
      </c>
      <c r="N9" s="480">
        <f>N10+N11+N12+N13</f>
        <v>43836</v>
      </c>
      <c r="O9" s="480">
        <f>O10+O11+O12+O13</f>
        <v>4744</v>
      </c>
      <c r="P9" s="256">
        <f>(O9/N9-1)*100</f>
        <v>-89.1778446938589</v>
      </c>
      <c r="Q9" s="479" t="s">
        <v>185</v>
      </c>
      <c r="R9" s="480"/>
      <c r="S9" s="480"/>
      <c r="T9" s="256"/>
      <c r="U9" s="484" t="s">
        <v>184</v>
      </c>
      <c r="V9" s="480"/>
      <c r="W9" s="480">
        <f>W10+W11+W12+W13</f>
        <v>0</v>
      </c>
      <c r="X9" s="256"/>
      <c r="Y9" s="479" t="s">
        <v>185</v>
      </c>
      <c r="Z9" s="480"/>
      <c r="AA9" s="480"/>
      <c r="AB9" s="256" t="e">
        <f>(AA9/Z9-1)*100</f>
        <v>#DIV/0!</v>
      </c>
      <c r="AC9" s="484" t="s">
        <v>184</v>
      </c>
      <c r="AD9" s="480">
        <f>AD10+AD11+AD12+AD13</f>
        <v>7369</v>
      </c>
      <c r="AE9" s="480">
        <f>AE10+AE11+AE12+AE13</f>
        <v>7000</v>
      </c>
      <c r="AF9" s="256">
        <f>(AE9/AD9-1)*100</f>
        <v>-5.00746369928077</v>
      </c>
      <c r="AG9" s="479" t="s">
        <v>185</v>
      </c>
      <c r="AH9" s="480"/>
      <c r="AI9" s="480"/>
      <c r="AJ9" s="256"/>
      <c r="AK9" s="484" t="s">
        <v>184</v>
      </c>
      <c r="AL9" s="480">
        <f>AL10+AL11+AL12+AL13</f>
        <v>199</v>
      </c>
      <c r="AM9" s="480">
        <f>AM10+AM11+AM12+AM13</f>
        <v>5012</v>
      </c>
      <c r="AN9" s="491">
        <f>AM9/AL9-1</f>
        <v>24.1859296482412</v>
      </c>
      <c r="AO9" s="479" t="s">
        <v>185</v>
      </c>
      <c r="AP9" s="480"/>
      <c r="AQ9" s="480"/>
      <c r="AR9" s="256" t="e">
        <f>(AQ9/AP9-1)*100</f>
        <v>#DIV/0!</v>
      </c>
      <c r="AS9" s="484" t="s">
        <v>184</v>
      </c>
      <c r="AT9" s="480">
        <f>AT10+AT11+AT12+AT13</f>
        <v>33</v>
      </c>
      <c r="AU9" s="480"/>
      <c r="AV9" s="256">
        <f>(AU9/AT9-1)*100</f>
        <v>-100</v>
      </c>
      <c r="AW9" s="479" t="s">
        <v>185</v>
      </c>
      <c r="AX9" s="480">
        <v>160</v>
      </c>
      <c r="AY9" s="480">
        <v>200</v>
      </c>
      <c r="AZ9" s="256">
        <f>(AY9/AX9-1)*100</f>
        <v>25</v>
      </c>
      <c r="BA9" s="484" t="s">
        <v>184</v>
      </c>
      <c r="BB9" s="480">
        <f>SUM(BB10:BB13)</f>
        <v>220</v>
      </c>
      <c r="BC9" s="480">
        <f>SUM(BC10:BC13)</f>
        <v>231</v>
      </c>
      <c r="BD9" s="256">
        <f>(BC9/BB9-1)*100</f>
        <v>5</v>
      </c>
    </row>
    <row r="10" ht="27.95" customHeight="true" spans="1:56">
      <c r="A10" s="479" t="s">
        <v>186</v>
      </c>
      <c r="B10" s="480">
        <f t="shared" ref="B10:G10" si="4">J10+R10+Z10+AH10+AP10+AX10</f>
        <v>0</v>
      </c>
      <c r="C10" s="480">
        <f t="shared" si="4"/>
        <v>0</v>
      </c>
      <c r="D10" s="256" t="e">
        <f>(C10/B10-1)*100</f>
        <v>#DIV/0!</v>
      </c>
      <c r="E10" s="484" t="s">
        <v>187</v>
      </c>
      <c r="F10" s="480">
        <f t="shared" si="4"/>
        <v>50677</v>
      </c>
      <c r="G10" s="480">
        <f t="shared" si="4"/>
        <v>15867</v>
      </c>
      <c r="H10" s="256">
        <f>(G10/F10-1)*100</f>
        <v>-68.6899382362808</v>
      </c>
      <c r="I10" s="479" t="s">
        <v>188</v>
      </c>
      <c r="J10" s="480"/>
      <c r="K10" s="480"/>
      <c r="L10" s="256">
        <v>0</v>
      </c>
      <c r="M10" s="484" t="s">
        <v>187</v>
      </c>
      <c r="N10" s="480">
        <v>43036</v>
      </c>
      <c r="O10" s="480">
        <f>3563+281</f>
        <v>3844</v>
      </c>
      <c r="P10" s="256">
        <v>0</v>
      </c>
      <c r="Q10" s="479" t="s">
        <v>188</v>
      </c>
      <c r="R10" s="480"/>
      <c r="S10" s="480"/>
      <c r="T10" s="256">
        <v>0</v>
      </c>
      <c r="U10" s="484" t="s">
        <v>187</v>
      </c>
      <c r="V10" s="480"/>
      <c r="W10" s="480"/>
      <c r="X10" s="256">
        <v>0</v>
      </c>
      <c r="Y10" s="479" t="s">
        <v>188</v>
      </c>
      <c r="Z10" s="480"/>
      <c r="AA10" s="480"/>
      <c r="AB10" s="256">
        <v>0</v>
      </c>
      <c r="AC10" s="484" t="s">
        <v>187</v>
      </c>
      <c r="AD10" s="480">
        <v>7369</v>
      </c>
      <c r="AE10" s="480">
        <v>7000</v>
      </c>
      <c r="AF10" s="256">
        <v>0</v>
      </c>
      <c r="AG10" s="479" t="s">
        <v>188</v>
      </c>
      <c r="AH10" s="480"/>
      <c r="AI10" s="480"/>
      <c r="AJ10" s="256">
        <v>0</v>
      </c>
      <c r="AK10" s="484" t="s">
        <v>187</v>
      </c>
      <c r="AL10" s="480">
        <v>199</v>
      </c>
      <c r="AM10" s="480">
        <f>1718+3294</f>
        <v>5012</v>
      </c>
      <c r="AN10" s="491">
        <f>AM10/AL10-1</f>
        <v>24.1859296482412</v>
      </c>
      <c r="AO10" s="479" t="s">
        <v>188</v>
      </c>
      <c r="AP10" s="480"/>
      <c r="AQ10" s="480"/>
      <c r="AR10" s="256">
        <v>0</v>
      </c>
      <c r="AS10" s="484" t="s">
        <v>187</v>
      </c>
      <c r="AT10" s="480">
        <v>33</v>
      </c>
      <c r="AU10" s="480"/>
      <c r="AV10" s="256">
        <v>0</v>
      </c>
      <c r="AW10" s="479" t="s">
        <v>188</v>
      </c>
      <c r="AX10" s="480"/>
      <c r="AY10" s="480"/>
      <c r="AZ10" s="256">
        <v>0</v>
      </c>
      <c r="BA10" s="484" t="s">
        <v>187</v>
      </c>
      <c r="BB10" s="480">
        <v>40</v>
      </c>
      <c r="BC10" s="480">
        <v>11</v>
      </c>
      <c r="BD10" s="256">
        <v>0</v>
      </c>
    </row>
    <row r="11" ht="27.95" customHeight="true" spans="1:56">
      <c r="A11" s="479" t="s">
        <v>189</v>
      </c>
      <c r="B11" s="480">
        <f t="shared" ref="B11:G11" si="5">J11+R11+Z11+AH11+AP11+AX11</f>
        <v>1527</v>
      </c>
      <c r="C11" s="480">
        <f t="shared" si="5"/>
        <v>0</v>
      </c>
      <c r="D11" s="256">
        <f>(C11/B11-1)*100</f>
        <v>-100</v>
      </c>
      <c r="E11" s="484" t="s">
        <v>190</v>
      </c>
      <c r="F11" s="480">
        <f t="shared" si="5"/>
        <v>120</v>
      </c>
      <c r="G11" s="480">
        <f t="shared" si="5"/>
        <v>20</v>
      </c>
      <c r="H11" s="256">
        <f>(G11/F11-1)*100</f>
        <v>-83.3333333333333</v>
      </c>
      <c r="I11" s="479" t="s">
        <v>191</v>
      </c>
      <c r="J11" s="480"/>
      <c r="K11" s="480"/>
      <c r="L11" s="256">
        <v>0</v>
      </c>
      <c r="M11" s="484" t="s">
        <v>190</v>
      </c>
      <c r="N11" s="480">
        <v>100</v>
      </c>
      <c r="O11" s="480"/>
      <c r="P11" s="256">
        <v>0</v>
      </c>
      <c r="Q11" s="479" t="s">
        <v>191</v>
      </c>
      <c r="R11" s="480"/>
      <c r="S11" s="480"/>
      <c r="T11" s="256">
        <v>0</v>
      </c>
      <c r="U11" s="484" t="s">
        <v>190</v>
      </c>
      <c r="V11" s="480"/>
      <c r="W11" s="480"/>
      <c r="X11" s="256">
        <v>0</v>
      </c>
      <c r="Y11" s="479" t="s">
        <v>191</v>
      </c>
      <c r="Z11" s="480"/>
      <c r="AA11" s="480"/>
      <c r="AB11" s="256">
        <v>0</v>
      </c>
      <c r="AC11" s="484" t="s">
        <v>190</v>
      </c>
      <c r="AD11" s="480"/>
      <c r="AE11" s="480"/>
      <c r="AF11" s="256">
        <v>0</v>
      </c>
      <c r="AG11" s="479" t="s">
        <v>191</v>
      </c>
      <c r="AH11" s="480">
        <v>1107</v>
      </c>
      <c r="AI11" s="480"/>
      <c r="AJ11" s="256">
        <v>0</v>
      </c>
      <c r="AK11" s="484" t="s">
        <v>190</v>
      </c>
      <c r="AL11" s="480"/>
      <c r="AM11" s="480"/>
      <c r="AN11" s="491"/>
      <c r="AO11" s="479" t="s">
        <v>191</v>
      </c>
      <c r="AP11" s="480">
        <v>420</v>
      </c>
      <c r="AQ11" s="480"/>
      <c r="AR11" s="256">
        <v>0</v>
      </c>
      <c r="AS11" s="484" t="s">
        <v>190</v>
      </c>
      <c r="AT11" s="480"/>
      <c r="AU11" s="480"/>
      <c r="AV11" s="256">
        <v>0</v>
      </c>
      <c r="AW11" s="479" t="s">
        <v>191</v>
      </c>
      <c r="AX11" s="480"/>
      <c r="AY11" s="480"/>
      <c r="AZ11" s="256">
        <v>0</v>
      </c>
      <c r="BA11" s="484" t="s">
        <v>190</v>
      </c>
      <c r="BB11" s="480">
        <v>20</v>
      </c>
      <c r="BC11" s="480">
        <v>20</v>
      </c>
      <c r="BD11" s="256">
        <v>0</v>
      </c>
    </row>
    <row r="12" ht="27.95" customHeight="true" spans="1:56">
      <c r="A12" s="479" t="s">
        <v>192</v>
      </c>
      <c r="B12" s="480">
        <f t="shared" ref="B12:G12" si="6">J12+R12+Z12+AH12+AP12+AX12</f>
        <v>5283</v>
      </c>
      <c r="C12" s="480">
        <f t="shared" si="6"/>
        <v>5950</v>
      </c>
      <c r="D12" s="256">
        <f>(C12/B12-1)*100</f>
        <v>12.6254022335794</v>
      </c>
      <c r="E12" s="484" t="s">
        <v>193</v>
      </c>
      <c r="F12" s="480">
        <f t="shared" si="6"/>
        <v>0</v>
      </c>
      <c r="G12" s="480">
        <f t="shared" si="6"/>
        <v>0</v>
      </c>
      <c r="H12" s="256">
        <v>0</v>
      </c>
      <c r="I12" s="479" t="s">
        <v>194</v>
      </c>
      <c r="J12" s="480">
        <v>4404</v>
      </c>
      <c r="K12" s="480">
        <v>4404</v>
      </c>
      <c r="L12" s="256">
        <v>0</v>
      </c>
      <c r="M12" s="484" t="s">
        <v>193</v>
      </c>
      <c r="N12" s="480"/>
      <c r="O12" s="480"/>
      <c r="P12" s="256">
        <v>0</v>
      </c>
      <c r="Q12" s="479" t="s">
        <v>194</v>
      </c>
      <c r="R12" s="480"/>
      <c r="S12" s="480">
        <v>286</v>
      </c>
      <c r="T12" s="256">
        <v>0</v>
      </c>
      <c r="U12" s="484" t="s">
        <v>193</v>
      </c>
      <c r="V12" s="480"/>
      <c r="W12" s="480"/>
      <c r="X12" s="256">
        <v>0</v>
      </c>
      <c r="Y12" s="479" t="s">
        <v>194</v>
      </c>
      <c r="Z12" s="480"/>
      <c r="AA12" s="480"/>
      <c r="AB12" s="256">
        <v>0</v>
      </c>
      <c r="AC12" s="484" t="s">
        <v>193</v>
      </c>
      <c r="AD12" s="480"/>
      <c r="AE12" s="480"/>
      <c r="AF12" s="256">
        <v>0</v>
      </c>
      <c r="AG12" s="479" t="s">
        <v>194</v>
      </c>
      <c r="AH12" s="480"/>
      <c r="AI12" s="480"/>
      <c r="AJ12" s="256">
        <v>0</v>
      </c>
      <c r="AK12" s="484" t="s">
        <v>193</v>
      </c>
      <c r="AL12" s="480"/>
      <c r="AM12" s="480"/>
      <c r="AN12" s="491"/>
      <c r="AO12" s="479" t="s">
        <v>194</v>
      </c>
      <c r="AP12" s="480"/>
      <c r="AQ12" s="480"/>
      <c r="AR12" s="256">
        <v>0</v>
      </c>
      <c r="AS12" s="484" t="s">
        <v>193</v>
      </c>
      <c r="AT12" s="480"/>
      <c r="AU12" s="480"/>
      <c r="AV12" s="256">
        <v>0</v>
      </c>
      <c r="AW12" s="479" t="s">
        <v>194</v>
      </c>
      <c r="AX12" s="480">
        <v>879</v>
      </c>
      <c r="AY12" s="480">
        <v>1260</v>
      </c>
      <c r="AZ12" s="256">
        <v>0</v>
      </c>
      <c r="BA12" s="484" t="s">
        <v>193</v>
      </c>
      <c r="BB12" s="480"/>
      <c r="BC12" s="480"/>
      <c r="BD12" s="256">
        <v>0</v>
      </c>
    </row>
    <row r="13" ht="27.95" customHeight="true" spans="1:56">
      <c r="A13" s="479"/>
      <c r="B13" s="480">
        <f t="shared" ref="B13:G13" si="7">J13+R13+Z13+AH13+AP13+AX13</f>
        <v>0</v>
      </c>
      <c r="C13" s="480">
        <f t="shared" si="7"/>
        <v>0</v>
      </c>
      <c r="D13" s="256">
        <v>0</v>
      </c>
      <c r="E13" s="484" t="s">
        <v>195</v>
      </c>
      <c r="F13" s="480">
        <f t="shared" si="7"/>
        <v>860</v>
      </c>
      <c r="G13" s="480">
        <f t="shared" si="7"/>
        <v>1100</v>
      </c>
      <c r="H13" s="256">
        <f>(G13/F13-1)*100</f>
        <v>27.9069767441861</v>
      </c>
      <c r="I13" s="479"/>
      <c r="J13" s="480"/>
      <c r="K13" s="480"/>
      <c r="L13" s="256">
        <v>0</v>
      </c>
      <c r="M13" s="484" t="s">
        <v>195</v>
      </c>
      <c r="N13" s="480">
        <v>700</v>
      </c>
      <c r="O13" s="480">
        <v>900</v>
      </c>
      <c r="P13" s="256">
        <v>0</v>
      </c>
      <c r="Q13" s="479"/>
      <c r="R13" s="480"/>
      <c r="S13" s="480"/>
      <c r="T13" s="256">
        <v>0</v>
      </c>
      <c r="U13" s="484" t="s">
        <v>195</v>
      </c>
      <c r="V13" s="480"/>
      <c r="W13" s="480"/>
      <c r="X13" s="256">
        <v>0</v>
      </c>
      <c r="Y13" s="479"/>
      <c r="Z13" s="480"/>
      <c r="AA13" s="480"/>
      <c r="AB13" s="256">
        <v>0</v>
      </c>
      <c r="AC13" s="484" t="s">
        <v>195</v>
      </c>
      <c r="AD13" s="480"/>
      <c r="AE13" s="480"/>
      <c r="AF13" s="256">
        <v>0</v>
      </c>
      <c r="AG13" s="479"/>
      <c r="AH13" s="480"/>
      <c r="AI13" s="480"/>
      <c r="AJ13" s="256">
        <v>0</v>
      </c>
      <c r="AK13" s="484" t="s">
        <v>195</v>
      </c>
      <c r="AL13" s="480"/>
      <c r="AM13" s="480"/>
      <c r="AN13" s="491"/>
      <c r="AO13" s="479"/>
      <c r="AP13" s="480"/>
      <c r="AQ13" s="480"/>
      <c r="AR13" s="256">
        <v>0</v>
      </c>
      <c r="AS13" s="484" t="s">
        <v>195</v>
      </c>
      <c r="AT13" s="480"/>
      <c r="AU13" s="480"/>
      <c r="AV13" s="256">
        <v>0</v>
      </c>
      <c r="AW13" s="479"/>
      <c r="AX13" s="480"/>
      <c r="AY13" s="480"/>
      <c r="AZ13" s="256">
        <v>0</v>
      </c>
      <c r="BA13" s="484" t="s">
        <v>195</v>
      </c>
      <c r="BB13" s="480">
        <v>160</v>
      </c>
      <c r="BC13" s="480">
        <v>200</v>
      </c>
      <c r="BD13" s="256">
        <v>0</v>
      </c>
    </row>
    <row r="14" ht="27.95" customHeight="true" spans="1:56">
      <c r="A14" s="479"/>
      <c r="B14" s="480">
        <f t="shared" ref="B14:G14" si="8">J14+R14+Z14+AH14+AP14+AX14</f>
        <v>0</v>
      </c>
      <c r="C14" s="480">
        <f t="shared" si="8"/>
        <v>0</v>
      </c>
      <c r="D14" s="256">
        <v>0</v>
      </c>
      <c r="E14" s="484" t="s">
        <v>196</v>
      </c>
      <c r="F14" s="480">
        <f t="shared" si="8"/>
        <v>0</v>
      </c>
      <c r="G14" s="480">
        <f t="shared" si="8"/>
        <v>0</v>
      </c>
      <c r="H14" s="256">
        <v>0</v>
      </c>
      <c r="I14" s="479"/>
      <c r="J14" s="480"/>
      <c r="K14" s="480"/>
      <c r="L14" s="256"/>
      <c r="M14" s="484" t="s">
        <v>196</v>
      </c>
      <c r="N14" s="480"/>
      <c r="O14" s="480"/>
      <c r="P14" s="256"/>
      <c r="Q14" s="479"/>
      <c r="R14" s="480"/>
      <c r="S14" s="480"/>
      <c r="T14" s="256"/>
      <c r="U14" s="484" t="s">
        <v>196</v>
      </c>
      <c r="V14" s="480"/>
      <c r="W14" s="480"/>
      <c r="X14" s="256"/>
      <c r="Y14" s="479"/>
      <c r="Z14" s="480"/>
      <c r="AA14" s="480"/>
      <c r="AB14" s="256"/>
      <c r="AC14" s="484" t="s">
        <v>196</v>
      </c>
      <c r="AD14" s="480"/>
      <c r="AE14" s="480"/>
      <c r="AF14" s="256"/>
      <c r="AG14" s="479"/>
      <c r="AH14" s="480"/>
      <c r="AI14" s="480"/>
      <c r="AJ14" s="256"/>
      <c r="AK14" s="484" t="s">
        <v>196</v>
      </c>
      <c r="AL14" s="480"/>
      <c r="AM14" s="480"/>
      <c r="AN14" s="491"/>
      <c r="AO14" s="479"/>
      <c r="AP14" s="480"/>
      <c r="AQ14" s="480"/>
      <c r="AR14" s="256"/>
      <c r="AS14" s="484" t="s">
        <v>196</v>
      </c>
      <c r="AT14" s="480"/>
      <c r="AU14" s="480"/>
      <c r="AV14" s="256"/>
      <c r="AW14" s="479"/>
      <c r="AX14" s="480"/>
      <c r="AY14" s="480"/>
      <c r="AZ14" s="256"/>
      <c r="BA14" s="484" t="s">
        <v>196</v>
      </c>
      <c r="BB14" s="480"/>
      <c r="BC14" s="480"/>
      <c r="BD14" s="256"/>
    </row>
    <row r="15" ht="27.95" customHeight="true" spans="1:56">
      <c r="A15" s="479"/>
      <c r="B15" s="480">
        <f t="shared" ref="B15:G15" si="9">J15+R15+Z15+AH15+AP15+AX15</f>
        <v>0</v>
      </c>
      <c r="C15" s="480">
        <f t="shared" si="9"/>
        <v>0</v>
      </c>
      <c r="D15" s="256">
        <v>0</v>
      </c>
      <c r="E15" s="484" t="s">
        <v>197</v>
      </c>
      <c r="F15" s="480">
        <f t="shared" si="9"/>
        <v>0</v>
      </c>
      <c r="G15" s="480">
        <f t="shared" si="9"/>
        <v>0</v>
      </c>
      <c r="H15" s="256">
        <v>0</v>
      </c>
      <c r="I15" s="479"/>
      <c r="J15" s="480"/>
      <c r="K15" s="480"/>
      <c r="L15" s="256"/>
      <c r="M15" s="484" t="s">
        <v>197</v>
      </c>
      <c r="N15" s="480"/>
      <c r="O15" s="480"/>
      <c r="P15" s="256"/>
      <c r="Q15" s="479"/>
      <c r="R15" s="480"/>
      <c r="S15" s="480"/>
      <c r="T15" s="256"/>
      <c r="U15" s="484" t="s">
        <v>197</v>
      </c>
      <c r="V15" s="480"/>
      <c r="W15" s="480"/>
      <c r="X15" s="256"/>
      <c r="Y15" s="479"/>
      <c r="Z15" s="480"/>
      <c r="AA15" s="480"/>
      <c r="AB15" s="256"/>
      <c r="AC15" s="484" t="s">
        <v>197</v>
      </c>
      <c r="AD15" s="480"/>
      <c r="AE15" s="480"/>
      <c r="AF15" s="256"/>
      <c r="AG15" s="479"/>
      <c r="AH15" s="480"/>
      <c r="AI15" s="480"/>
      <c r="AJ15" s="256"/>
      <c r="AK15" s="484" t="s">
        <v>197</v>
      </c>
      <c r="AL15" s="480"/>
      <c r="AM15" s="480"/>
      <c r="AN15" s="491"/>
      <c r="AO15" s="479"/>
      <c r="AP15" s="480"/>
      <c r="AQ15" s="480"/>
      <c r="AR15" s="256"/>
      <c r="AS15" s="484" t="s">
        <v>197</v>
      </c>
      <c r="AT15" s="480"/>
      <c r="AU15" s="480"/>
      <c r="AV15" s="256"/>
      <c r="AW15" s="479"/>
      <c r="AX15" s="480"/>
      <c r="AY15" s="480"/>
      <c r="AZ15" s="256"/>
      <c r="BA15" s="484" t="s">
        <v>197</v>
      </c>
      <c r="BB15" s="480"/>
      <c r="BC15" s="480"/>
      <c r="BD15" s="256"/>
    </row>
    <row r="16" ht="27.95" customHeight="true" spans="1:56">
      <c r="A16" s="479"/>
      <c r="B16" s="480">
        <f t="shared" ref="B16:G16" si="10">J16+R16+Z16+AH16+AP16+AX16</f>
        <v>0</v>
      </c>
      <c r="C16" s="480">
        <f t="shared" si="10"/>
        <v>0</v>
      </c>
      <c r="D16" s="256">
        <v>0</v>
      </c>
      <c r="E16" s="484" t="s">
        <v>198</v>
      </c>
      <c r="F16" s="480">
        <f t="shared" si="10"/>
        <v>0</v>
      </c>
      <c r="G16" s="480">
        <f t="shared" si="10"/>
        <v>0</v>
      </c>
      <c r="H16" s="256">
        <v>0</v>
      </c>
      <c r="I16" s="479"/>
      <c r="J16" s="480"/>
      <c r="K16" s="480"/>
      <c r="L16" s="256"/>
      <c r="M16" s="484" t="s">
        <v>198</v>
      </c>
      <c r="N16" s="480"/>
      <c r="O16" s="480"/>
      <c r="P16" s="256"/>
      <c r="Q16" s="479"/>
      <c r="R16" s="480"/>
      <c r="S16" s="480"/>
      <c r="T16" s="256"/>
      <c r="U16" s="484" t="s">
        <v>198</v>
      </c>
      <c r="V16" s="480"/>
      <c r="W16" s="480"/>
      <c r="X16" s="256"/>
      <c r="Y16" s="479"/>
      <c r="Z16" s="480"/>
      <c r="AA16" s="480"/>
      <c r="AB16" s="256"/>
      <c r="AC16" s="484" t="s">
        <v>198</v>
      </c>
      <c r="AD16" s="480"/>
      <c r="AE16" s="480"/>
      <c r="AF16" s="256"/>
      <c r="AG16" s="479"/>
      <c r="AH16" s="480"/>
      <c r="AI16" s="480"/>
      <c r="AJ16" s="256"/>
      <c r="AK16" s="484" t="s">
        <v>198</v>
      </c>
      <c r="AL16" s="480"/>
      <c r="AM16" s="480"/>
      <c r="AN16" s="491"/>
      <c r="AO16" s="479"/>
      <c r="AP16" s="480"/>
      <c r="AQ16" s="480"/>
      <c r="AR16" s="256"/>
      <c r="AS16" s="484" t="s">
        <v>198</v>
      </c>
      <c r="AT16" s="480"/>
      <c r="AU16" s="480"/>
      <c r="AV16" s="256"/>
      <c r="AW16" s="479"/>
      <c r="AX16" s="480"/>
      <c r="AY16" s="480"/>
      <c r="AZ16" s="256"/>
      <c r="BA16" s="484" t="s">
        <v>198</v>
      </c>
      <c r="BB16" s="480"/>
      <c r="BC16" s="480"/>
      <c r="BD16" s="256"/>
    </row>
    <row r="17" ht="27.95" customHeight="true" spans="1:56">
      <c r="A17" s="479"/>
      <c r="B17" s="480">
        <f t="shared" ref="B17:G17" si="11">J17+R17+Z17+AH17+AP17+AX17</f>
        <v>0</v>
      </c>
      <c r="C17" s="480">
        <f t="shared" si="11"/>
        <v>0</v>
      </c>
      <c r="D17" s="256">
        <v>0</v>
      </c>
      <c r="E17" s="485" t="s">
        <v>199</v>
      </c>
      <c r="F17" s="480">
        <f t="shared" si="11"/>
        <v>9882.26</v>
      </c>
      <c r="G17" s="480">
        <f t="shared" si="11"/>
        <v>15145.38</v>
      </c>
      <c r="H17" s="256">
        <f t="shared" ref="H17:H22" si="12">(G17/F17-1)*100</f>
        <v>53.2582627860429</v>
      </c>
      <c r="I17" s="479"/>
      <c r="J17" s="480"/>
      <c r="K17" s="480"/>
      <c r="L17" s="256"/>
      <c r="M17" s="485" t="s">
        <v>199</v>
      </c>
      <c r="N17" s="480"/>
      <c r="O17" s="480">
        <f>4281+33</f>
        <v>4314</v>
      </c>
      <c r="P17" s="256"/>
      <c r="Q17" s="479"/>
      <c r="R17" s="480"/>
      <c r="S17" s="480"/>
      <c r="T17" s="256"/>
      <c r="U17" s="485" t="s">
        <v>199</v>
      </c>
      <c r="V17" s="480">
        <v>1068</v>
      </c>
      <c r="W17" s="480">
        <v>202.38</v>
      </c>
      <c r="X17" s="256">
        <f t="shared" ref="X17:X22" si="13">(W17/V17-1)*100</f>
        <v>-81.0505617977528</v>
      </c>
      <c r="Y17" s="479"/>
      <c r="Z17" s="480"/>
      <c r="AA17" s="480"/>
      <c r="AB17" s="256"/>
      <c r="AC17" s="485" t="s">
        <v>199</v>
      </c>
      <c r="AD17" s="480">
        <v>4808</v>
      </c>
      <c r="AE17" s="480">
        <v>4000</v>
      </c>
      <c r="AF17" s="256"/>
      <c r="AG17" s="479"/>
      <c r="AH17" s="480"/>
      <c r="AI17" s="480"/>
      <c r="AJ17" s="256"/>
      <c r="AK17" s="485" t="s">
        <v>199</v>
      </c>
      <c r="AL17" s="480">
        <v>547.26</v>
      </c>
      <c r="AM17" s="480"/>
      <c r="AN17" s="491">
        <f t="shared" ref="AN17:AN22" si="14">AM17/AL17-1</f>
        <v>-1</v>
      </c>
      <c r="AO17" s="479"/>
      <c r="AP17" s="480"/>
      <c r="AQ17" s="480"/>
      <c r="AR17" s="256"/>
      <c r="AS17" s="485" t="s">
        <v>199</v>
      </c>
      <c r="AT17" s="480">
        <v>3000</v>
      </c>
      <c r="AU17" s="480">
        <v>5772</v>
      </c>
      <c r="AV17" s="256"/>
      <c r="AW17" s="479"/>
      <c r="AX17" s="480"/>
      <c r="AY17" s="480"/>
      <c r="AZ17" s="256"/>
      <c r="BA17" s="485" t="s">
        <v>199</v>
      </c>
      <c r="BB17" s="480">
        <v>459</v>
      </c>
      <c r="BC17" s="480">
        <v>857</v>
      </c>
      <c r="BD17" s="256"/>
    </row>
    <row r="18" ht="28" customHeight="true" spans="1:56">
      <c r="A18" s="479"/>
      <c r="B18" s="480">
        <f t="shared" ref="B18:G18" si="15">J18+R18+Z18+AH18+AP18+AX18</f>
        <v>0</v>
      </c>
      <c r="C18" s="480">
        <f t="shared" si="15"/>
        <v>0</v>
      </c>
      <c r="D18" s="256">
        <v>0</v>
      </c>
      <c r="E18" s="485" t="s">
        <v>200</v>
      </c>
      <c r="F18" s="480">
        <f t="shared" si="15"/>
        <v>18136</v>
      </c>
      <c r="G18" s="480">
        <f t="shared" si="15"/>
        <v>72570</v>
      </c>
      <c r="H18" s="256">
        <f t="shared" si="12"/>
        <v>300.143361270401</v>
      </c>
      <c r="I18" s="479"/>
      <c r="J18" s="480"/>
      <c r="K18" s="480"/>
      <c r="L18" s="256">
        <v>0</v>
      </c>
      <c r="M18" s="485" t="s">
        <v>200</v>
      </c>
      <c r="N18" s="480">
        <v>11864</v>
      </c>
      <c r="O18" s="480">
        <v>66437</v>
      </c>
      <c r="P18" s="256">
        <f>(O18/N18-1)*100</f>
        <v>459.988199595415</v>
      </c>
      <c r="Q18" s="479"/>
      <c r="R18" s="480"/>
      <c r="S18" s="480"/>
      <c r="T18" s="256">
        <v>0</v>
      </c>
      <c r="U18" s="485" t="s">
        <v>200</v>
      </c>
      <c r="V18" s="480">
        <v>239</v>
      </c>
      <c r="W18" s="480">
        <v>288</v>
      </c>
      <c r="X18" s="256">
        <f t="shared" si="13"/>
        <v>20.5020920502092</v>
      </c>
      <c r="Y18" s="479"/>
      <c r="Z18" s="480"/>
      <c r="AA18" s="480"/>
      <c r="AB18" s="256">
        <v>0</v>
      </c>
      <c r="AC18" s="485" t="s">
        <v>200</v>
      </c>
      <c r="AD18" s="480">
        <v>1600</v>
      </c>
      <c r="AE18" s="480">
        <v>1000</v>
      </c>
      <c r="AF18" s="256">
        <f>(AE18/AD18-1)*100</f>
        <v>-37.5</v>
      </c>
      <c r="AG18" s="479"/>
      <c r="AH18" s="480"/>
      <c r="AI18" s="480"/>
      <c r="AJ18" s="256">
        <v>0</v>
      </c>
      <c r="AK18" s="485" t="s">
        <v>200</v>
      </c>
      <c r="AL18" s="480">
        <v>1534</v>
      </c>
      <c r="AM18" s="480">
        <v>1670</v>
      </c>
      <c r="AN18" s="491">
        <f t="shared" si="14"/>
        <v>0.0886571056062582</v>
      </c>
      <c r="AO18" s="479"/>
      <c r="AP18" s="480"/>
      <c r="AQ18" s="480"/>
      <c r="AR18" s="256">
        <v>0</v>
      </c>
      <c r="AS18" s="485" t="s">
        <v>200</v>
      </c>
      <c r="AT18" s="480">
        <v>1400</v>
      </c>
      <c r="AU18" s="480">
        <v>1671</v>
      </c>
      <c r="AV18" s="256">
        <f>(AU18/AT18-1)*100</f>
        <v>19.3571428571429</v>
      </c>
      <c r="AW18" s="479"/>
      <c r="AX18" s="480"/>
      <c r="AY18" s="480"/>
      <c r="AZ18" s="256">
        <v>0</v>
      </c>
      <c r="BA18" s="485" t="s">
        <v>200</v>
      </c>
      <c r="BB18" s="480">
        <v>1499</v>
      </c>
      <c r="BC18" s="480">
        <v>1504</v>
      </c>
      <c r="BD18" s="256">
        <f>(BC18/BB18-1)*100</f>
        <v>0.333555703802535</v>
      </c>
    </row>
    <row r="19" ht="28" customHeight="true" spans="1:56">
      <c r="A19" s="479"/>
      <c r="B19" s="480">
        <f t="shared" ref="B19:G19" si="16">J19+R19+Z19+AH19+AP19+AX19</f>
        <v>0</v>
      </c>
      <c r="C19" s="480">
        <f t="shared" si="16"/>
        <v>0</v>
      </c>
      <c r="D19" s="256">
        <v>0</v>
      </c>
      <c r="E19" s="485" t="s">
        <v>201</v>
      </c>
      <c r="F19" s="480">
        <f t="shared" si="16"/>
        <v>0</v>
      </c>
      <c r="G19" s="480">
        <f t="shared" si="16"/>
        <v>2221</v>
      </c>
      <c r="H19" s="256">
        <v>0</v>
      </c>
      <c r="I19" s="479"/>
      <c r="J19" s="480"/>
      <c r="K19" s="480"/>
      <c r="L19" s="256">
        <v>0</v>
      </c>
      <c r="M19" s="485" t="s">
        <v>201</v>
      </c>
      <c r="N19" s="480"/>
      <c r="O19" s="480"/>
      <c r="P19" s="256">
        <v>0</v>
      </c>
      <c r="Q19" s="479"/>
      <c r="R19" s="480"/>
      <c r="S19" s="480"/>
      <c r="T19" s="256">
        <v>0</v>
      </c>
      <c r="U19" s="489" t="s">
        <v>202</v>
      </c>
      <c r="V19" s="490"/>
      <c r="W19" s="490">
        <v>2221</v>
      </c>
      <c r="X19" s="256"/>
      <c r="Y19" s="479"/>
      <c r="Z19" s="480"/>
      <c r="AA19" s="480"/>
      <c r="AB19" s="256">
        <v>0</v>
      </c>
      <c r="AC19" s="485" t="s">
        <v>201</v>
      </c>
      <c r="AD19" s="480"/>
      <c r="AE19" s="480"/>
      <c r="AF19" s="256">
        <v>0</v>
      </c>
      <c r="AG19" s="479"/>
      <c r="AH19" s="480"/>
      <c r="AI19" s="480"/>
      <c r="AJ19" s="256">
        <v>0</v>
      </c>
      <c r="AK19" s="485" t="s">
        <v>201</v>
      </c>
      <c r="AL19" s="480"/>
      <c r="AM19" s="480"/>
      <c r="AN19" s="491"/>
      <c r="AO19" s="479"/>
      <c r="AP19" s="480"/>
      <c r="AQ19" s="480"/>
      <c r="AR19" s="256">
        <v>0</v>
      </c>
      <c r="AS19" s="485" t="s">
        <v>201</v>
      </c>
      <c r="AT19" s="480"/>
      <c r="AU19" s="480"/>
      <c r="AV19" s="256">
        <v>0</v>
      </c>
      <c r="AW19" s="479"/>
      <c r="AX19" s="480"/>
      <c r="AY19" s="480"/>
      <c r="AZ19" s="256">
        <v>0</v>
      </c>
      <c r="BA19" s="485" t="s">
        <v>201</v>
      </c>
      <c r="BB19" s="480"/>
      <c r="BC19" s="480"/>
      <c r="BD19" s="256">
        <v>0</v>
      </c>
    </row>
    <row r="20" ht="28" customHeight="true" spans="1:56">
      <c r="A20" s="479"/>
      <c r="B20" s="480">
        <f t="shared" ref="B20:G20" si="17">J20+R20+Z20+AH20+AP20+AX20</f>
        <v>0</v>
      </c>
      <c r="C20" s="480">
        <f t="shared" si="17"/>
        <v>0</v>
      </c>
      <c r="D20" s="256">
        <v>0</v>
      </c>
      <c r="E20" s="484"/>
      <c r="F20" s="480">
        <f t="shared" si="17"/>
        <v>0</v>
      </c>
      <c r="G20" s="480">
        <f t="shared" si="17"/>
        <v>0</v>
      </c>
      <c r="H20" s="256">
        <v>0</v>
      </c>
      <c r="I20" s="479"/>
      <c r="J20" s="480"/>
      <c r="K20" s="480"/>
      <c r="L20" s="256">
        <v>0</v>
      </c>
      <c r="M20" s="484"/>
      <c r="N20" s="480"/>
      <c r="O20" s="480"/>
      <c r="P20" s="256">
        <v>0</v>
      </c>
      <c r="Q20" s="479"/>
      <c r="R20" s="480"/>
      <c r="S20" s="480"/>
      <c r="T20" s="256">
        <v>0</v>
      </c>
      <c r="U20" s="484"/>
      <c r="V20" s="480"/>
      <c r="W20" s="480">
        <v>0</v>
      </c>
      <c r="X20" s="256"/>
      <c r="Y20" s="479"/>
      <c r="Z20" s="480"/>
      <c r="AA20" s="480"/>
      <c r="AB20" s="256">
        <v>0</v>
      </c>
      <c r="AC20" s="484"/>
      <c r="AD20" s="480"/>
      <c r="AE20" s="480"/>
      <c r="AF20" s="256">
        <v>0</v>
      </c>
      <c r="AG20" s="479"/>
      <c r="AH20" s="480"/>
      <c r="AI20" s="480"/>
      <c r="AJ20" s="256">
        <v>0</v>
      </c>
      <c r="AK20" s="484"/>
      <c r="AL20" s="480"/>
      <c r="AM20" s="480"/>
      <c r="AN20" s="491"/>
      <c r="AO20" s="479"/>
      <c r="AP20" s="480"/>
      <c r="AQ20" s="480"/>
      <c r="AR20" s="256">
        <v>0</v>
      </c>
      <c r="AS20" s="484"/>
      <c r="AT20" s="480"/>
      <c r="AU20" s="480"/>
      <c r="AV20" s="256">
        <v>0</v>
      </c>
      <c r="AW20" s="479"/>
      <c r="AX20" s="480"/>
      <c r="AY20" s="480"/>
      <c r="AZ20" s="256">
        <v>0</v>
      </c>
      <c r="BA20" s="484"/>
      <c r="BB20" s="480"/>
      <c r="BC20" s="480"/>
      <c r="BD20" s="256">
        <v>0</v>
      </c>
    </row>
    <row r="21" ht="28" customHeight="true" spans="1:56">
      <c r="A21" s="479"/>
      <c r="B21" s="480">
        <f t="shared" ref="B21:G21" si="18">J21+R21+Z21+AH21+AP21+AX21</f>
        <v>0</v>
      </c>
      <c r="C21" s="480">
        <f t="shared" si="18"/>
        <v>0</v>
      </c>
      <c r="D21" s="256">
        <v>0</v>
      </c>
      <c r="E21" s="485"/>
      <c r="F21" s="480">
        <f t="shared" si="18"/>
        <v>0</v>
      </c>
      <c r="G21" s="480">
        <f t="shared" si="18"/>
        <v>0</v>
      </c>
      <c r="H21" s="256">
        <v>0</v>
      </c>
      <c r="I21" s="479"/>
      <c r="J21" s="480"/>
      <c r="K21" s="480"/>
      <c r="L21" s="256">
        <v>0</v>
      </c>
      <c r="M21" s="485"/>
      <c r="N21" s="480"/>
      <c r="O21" s="480"/>
      <c r="P21" s="256" t="e">
        <f>(O21/N21-1)*100</f>
        <v>#DIV/0!</v>
      </c>
      <c r="Q21" s="479"/>
      <c r="R21" s="480"/>
      <c r="S21" s="480"/>
      <c r="T21" s="256">
        <v>0</v>
      </c>
      <c r="U21" s="485"/>
      <c r="V21" s="480"/>
      <c r="W21" s="480"/>
      <c r="X21" s="256"/>
      <c r="Y21" s="479"/>
      <c r="Z21" s="480"/>
      <c r="AA21" s="480"/>
      <c r="AB21" s="256">
        <v>0</v>
      </c>
      <c r="AC21" s="485"/>
      <c r="AD21" s="480"/>
      <c r="AE21" s="480"/>
      <c r="AF21" s="256" t="e">
        <f>(AE21/AD21-1)*100</f>
        <v>#DIV/0!</v>
      </c>
      <c r="AG21" s="479"/>
      <c r="AH21" s="480"/>
      <c r="AI21" s="480"/>
      <c r="AJ21" s="256">
        <v>0</v>
      </c>
      <c r="AK21" s="485"/>
      <c r="AL21" s="480"/>
      <c r="AM21" s="480"/>
      <c r="AN21" s="491"/>
      <c r="AO21" s="479"/>
      <c r="AP21" s="480"/>
      <c r="AQ21" s="480"/>
      <c r="AR21" s="256">
        <v>0</v>
      </c>
      <c r="AS21" s="485"/>
      <c r="AT21" s="480"/>
      <c r="AU21" s="480"/>
      <c r="AV21" s="256" t="e">
        <f>(AU21/AT21-1)*100</f>
        <v>#DIV/0!</v>
      </c>
      <c r="AW21" s="479"/>
      <c r="AX21" s="480"/>
      <c r="AY21" s="480"/>
      <c r="AZ21" s="256">
        <v>0</v>
      </c>
      <c r="BA21" s="485"/>
      <c r="BB21" s="480"/>
      <c r="BC21" s="480"/>
      <c r="BD21" s="256" t="e">
        <f>(BC21/BB21-1)*100</f>
        <v>#DIV/0!</v>
      </c>
    </row>
    <row r="22" s="145" customFormat="true" ht="27" customHeight="true" spans="1:56">
      <c r="A22" s="478" t="s">
        <v>203</v>
      </c>
      <c r="B22" s="481">
        <f>SUM(B6:B21)</f>
        <v>78880</v>
      </c>
      <c r="C22" s="481">
        <f>SUM(C6:C21)</f>
        <v>96566</v>
      </c>
      <c r="D22" s="482">
        <f>(C22/B22-1)*100</f>
        <v>22.4213995943205</v>
      </c>
      <c r="E22" s="478" t="s">
        <v>204</v>
      </c>
      <c r="F22" s="481">
        <f>F6+F7+F8+F9+F14+F15+F16+F17+F18+F19</f>
        <v>81404</v>
      </c>
      <c r="G22" s="481">
        <f>G6+G7+G8+G9+G14+G15+G16+G17+G18+G19</f>
        <v>110901.38</v>
      </c>
      <c r="H22" s="482">
        <f t="shared" si="12"/>
        <v>36.2357869392167</v>
      </c>
      <c r="I22" s="478" t="s">
        <v>203</v>
      </c>
      <c r="J22" s="481">
        <f>SUM(J6:J21)</f>
        <v>55700</v>
      </c>
      <c r="K22" s="481">
        <f>SUM(K6:K21)</f>
        <v>70900</v>
      </c>
      <c r="L22" s="482"/>
      <c r="M22" s="478" t="s">
        <v>204</v>
      </c>
      <c r="N22" s="481">
        <f>N9+N18+N19+N6+N7+N8+N14+N15+N16+N17</f>
        <v>55700</v>
      </c>
      <c r="O22" s="481">
        <f>O9+O18+O19+O6+O7+O8+O14+O15+O16+O17</f>
        <v>75495</v>
      </c>
      <c r="P22" s="482"/>
      <c r="Q22" s="478" t="s">
        <v>203</v>
      </c>
      <c r="R22" s="481">
        <f>SUM(R6:R21)</f>
        <v>0</v>
      </c>
      <c r="S22" s="481">
        <f>SUM(S6:S21)</f>
        <v>286</v>
      </c>
      <c r="T22" s="482"/>
      <c r="U22" s="478" t="s">
        <v>204</v>
      </c>
      <c r="V22" s="481">
        <f>V6+V7+V8+V9+V14+V15+V16+V17+V18+V19</f>
        <v>1806</v>
      </c>
      <c r="W22" s="481">
        <f>W6+W7+W8+W9+W14+W15+W16+W17+W18+W19</f>
        <v>5689.38</v>
      </c>
      <c r="X22" s="256">
        <f t="shared" si="13"/>
        <v>215.02657807309</v>
      </c>
      <c r="Y22" s="478" t="s">
        <v>203</v>
      </c>
      <c r="Z22" s="481">
        <f>SUM(Z6:Z21)</f>
        <v>10000</v>
      </c>
      <c r="AA22" s="481">
        <f>SUM(AA6:AA21)</f>
        <v>10000</v>
      </c>
      <c r="AB22" s="482"/>
      <c r="AC22" s="478" t="s">
        <v>204</v>
      </c>
      <c r="AD22" s="481">
        <f>AD6+AD7+AD8+AD9+AD14+AD15+AD16+AD17+AD18+AD19</f>
        <v>14777</v>
      </c>
      <c r="AE22" s="481">
        <f>AE6+AE7+AE8+AE9+AE14+AE15+AE16+AE17+AE18+AE19</f>
        <v>13000</v>
      </c>
      <c r="AF22" s="482"/>
      <c r="AG22" s="478" t="s">
        <v>203</v>
      </c>
      <c r="AH22" s="481">
        <f>SUM(AH6:AH21)</f>
        <v>4400</v>
      </c>
      <c r="AI22" s="481">
        <f>SUM(AI6:AI21)</f>
        <v>7000</v>
      </c>
      <c r="AJ22" s="482"/>
      <c r="AK22" s="478" t="s">
        <v>204</v>
      </c>
      <c r="AL22" s="481">
        <f>AL6+AL7+AL8+AL9+AL14+AL15+AL16+AL17+AL18+AL19</f>
        <v>2297</v>
      </c>
      <c r="AM22" s="481">
        <f>AM6+AM7+AM8+AM9+AM14+AM15+AM16+AM17+AM18+AM19</f>
        <v>6682</v>
      </c>
      <c r="AN22" s="492">
        <f t="shared" si="14"/>
        <v>1.90901175446234</v>
      </c>
      <c r="AO22" s="478" t="s">
        <v>203</v>
      </c>
      <c r="AP22" s="481">
        <f>SUM(AP6:AP21)</f>
        <v>3100</v>
      </c>
      <c r="AQ22" s="481">
        <f>SUM(AQ6:AQ21)</f>
        <v>2500</v>
      </c>
      <c r="AR22" s="482"/>
      <c r="AS22" s="478" t="s">
        <v>204</v>
      </c>
      <c r="AT22" s="481">
        <f>AT6+AT7+AT8+AT9+AT14+AT15+AT16+AT17+AT18+AT19</f>
        <v>4447</v>
      </c>
      <c r="AU22" s="481">
        <f>AU6+AU7+AU8+AU9+AU14+AU15+AU16+AU17+AU18+AU19</f>
        <v>7443</v>
      </c>
      <c r="AV22" s="482"/>
      <c r="AW22" s="478" t="s">
        <v>203</v>
      </c>
      <c r="AX22" s="481">
        <f>SUM(AX6:AX21)</f>
        <v>5680</v>
      </c>
      <c r="AY22" s="481">
        <f>SUM(AY6:AY21)</f>
        <v>5880</v>
      </c>
      <c r="AZ22" s="482"/>
      <c r="BA22" s="478" t="s">
        <v>204</v>
      </c>
      <c r="BB22" s="481">
        <f>BB6+BB7+BB8+BB9+BB14+BB15+BB16+BB17+BB18+BB19</f>
        <v>2377</v>
      </c>
      <c r="BC22" s="481">
        <f>BC6+BC7+BC8+BC9+BC14+BC15+BC16+BC17+BC18+BC19</f>
        <v>2592</v>
      </c>
      <c r="BD22" s="482"/>
    </row>
    <row r="23" s="127" customFormat="true" ht="28" customHeight="true" spans="1:56">
      <c r="A23" s="483" t="s">
        <v>205</v>
      </c>
      <c r="B23" s="481">
        <f>SUM(B24:B26)</f>
        <v>14486</v>
      </c>
      <c r="C23" s="481">
        <f>SUM(C24:C26)</f>
        <v>28373</v>
      </c>
      <c r="D23" s="482">
        <f>(C23/B23-1)*100</f>
        <v>95.8649730774541</v>
      </c>
      <c r="E23" s="486" t="s">
        <v>206</v>
      </c>
      <c r="F23" s="481">
        <f>SUM(N23,V23,AD23,AL23,AT23,BB23)</f>
        <v>0</v>
      </c>
      <c r="G23" s="481">
        <f>SUM(O23,W23,AE23,AM23,AU23,BC23)</f>
        <v>0</v>
      </c>
      <c r="H23" s="482" t="e">
        <f t="shared" ref="H23:H28" si="19">(G23/F23-1)*100</f>
        <v>#DIV/0!</v>
      </c>
      <c r="I23" s="483" t="s">
        <v>205</v>
      </c>
      <c r="J23" s="481">
        <f t="shared" ref="J23:N23" si="20">SUM(J24:J26)</f>
        <v>0</v>
      </c>
      <c r="K23" s="481">
        <f t="shared" si="20"/>
        <v>4595</v>
      </c>
      <c r="L23" s="482"/>
      <c r="M23" s="486" t="s">
        <v>206</v>
      </c>
      <c r="N23" s="481">
        <f t="shared" si="20"/>
        <v>0</v>
      </c>
      <c r="O23" s="481">
        <f>SUM(W23,AE23,AM23,AU23,BC23,BK23)</f>
        <v>0</v>
      </c>
      <c r="P23" s="482">
        <v>0</v>
      </c>
      <c r="Q23" s="483" t="s">
        <v>205</v>
      </c>
      <c r="R23" s="481">
        <f t="shared" ref="R23:V23" si="21">SUM(R24:R26)</f>
        <v>3973</v>
      </c>
      <c r="S23" s="481">
        <f t="shared" si="21"/>
        <v>6993</v>
      </c>
      <c r="T23" s="482">
        <f>(S23/R23-1)*100</f>
        <v>76.0130883463378</v>
      </c>
      <c r="U23" s="486" t="s">
        <v>206</v>
      </c>
      <c r="V23" s="481">
        <f t="shared" si="21"/>
        <v>0</v>
      </c>
      <c r="W23" s="481">
        <f>SUM(AE23,AM23,AU23,BC23,BK23,BS23)</f>
        <v>0</v>
      </c>
      <c r="X23" s="482">
        <v>0</v>
      </c>
      <c r="Y23" s="483" t="s">
        <v>205</v>
      </c>
      <c r="Z23" s="481">
        <f t="shared" ref="Z23:AE23" si="22">SUM(Z24:Z26)</f>
        <v>6277</v>
      </c>
      <c r="AA23" s="481">
        <f t="shared" si="22"/>
        <v>5300</v>
      </c>
      <c r="AB23" s="482"/>
      <c r="AC23" s="486" t="s">
        <v>206</v>
      </c>
      <c r="AD23" s="481">
        <f t="shared" si="22"/>
        <v>0</v>
      </c>
      <c r="AE23" s="481">
        <f t="shared" si="22"/>
        <v>0</v>
      </c>
      <c r="AF23" s="482">
        <v>0</v>
      </c>
      <c r="AG23" s="483" t="s">
        <v>205</v>
      </c>
      <c r="AH23" s="481">
        <f t="shared" ref="AH23:AL23" si="23">SUM(AH24:AH26)</f>
        <v>564</v>
      </c>
      <c r="AI23" s="481">
        <f t="shared" si="23"/>
        <v>3294</v>
      </c>
      <c r="AJ23" s="482"/>
      <c r="AK23" s="486" t="s">
        <v>206</v>
      </c>
      <c r="AL23" s="481">
        <f t="shared" si="23"/>
        <v>0</v>
      </c>
      <c r="AM23" s="481">
        <f>SUM(AU23,BC23,BK23,BS23,CA23,CI23)</f>
        <v>0</v>
      </c>
      <c r="AN23" s="491"/>
      <c r="AO23" s="483" t="s">
        <v>205</v>
      </c>
      <c r="AP23" s="481">
        <f t="shared" ref="AP23:AT23" si="24">SUM(AP24:AP26)</f>
        <v>3014</v>
      </c>
      <c r="AQ23" s="481">
        <f t="shared" si="24"/>
        <v>7334</v>
      </c>
      <c r="AR23" s="482"/>
      <c r="AS23" s="486" t="s">
        <v>206</v>
      </c>
      <c r="AT23" s="481">
        <f t="shared" si="24"/>
        <v>0</v>
      </c>
      <c r="AU23" s="481">
        <f>SUM(BC23,BK23,BS23,CA23,CI23,CQ23)</f>
        <v>0</v>
      </c>
      <c r="AV23" s="482">
        <v>0</v>
      </c>
      <c r="AW23" s="483" t="s">
        <v>205</v>
      </c>
      <c r="AX23" s="481">
        <f t="shared" ref="AX23:BC23" si="25">SUM(AX24:AX26)</f>
        <v>658</v>
      </c>
      <c r="AY23" s="481">
        <f t="shared" si="25"/>
        <v>857</v>
      </c>
      <c r="AZ23" s="482"/>
      <c r="BA23" s="486" t="s">
        <v>206</v>
      </c>
      <c r="BB23" s="481">
        <f t="shared" si="25"/>
        <v>0</v>
      </c>
      <c r="BC23" s="481">
        <f t="shared" si="25"/>
        <v>0</v>
      </c>
      <c r="BD23" s="482">
        <v>0</v>
      </c>
    </row>
    <row r="24" s="145" customFormat="true" ht="27.95" customHeight="true" spans="1:56">
      <c r="A24" s="479" t="s">
        <v>207</v>
      </c>
      <c r="B24" s="480">
        <f t="shared" ref="B24:G24" si="26">J24+R24+Z24+AH24+AP24+AX24</f>
        <v>7884</v>
      </c>
      <c r="C24" s="480">
        <f t="shared" si="26"/>
        <v>11160</v>
      </c>
      <c r="D24" s="256">
        <f>(C24/B24-1)*100</f>
        <v>41.5525114155251</v>
      </c>
      <c r="E24" s="485" t="s">
        <v>208</v>
      </c>
      <c r="F24" s="480">
        <f t="shared" si="26"/>
        <v>0</v>
      </c>
      <c r="G24" s="480">
        <f t="shared" si="26"/>
        <v>1049</v>
      </c>
      <c r="H24" s="256" t="e">
        <f t="shared" si="19"/>
        <v>#DIV/0!</v>
      </c>
      <c r="I24" s="479" t="s">
        <v>207</v>
      </c>
      <c r="J24" s="481"/>
      <c r="K24" s="481">
        <v>33</v>
      </c>
      <c r="L24" s="482"/>
      <c r="M24" s="485" t="s">
        <v>208</v>
      </c>
      <c r="N24" s="481"/>
      <c r="O24" s="481"/>
      <c r="P24" s="482" t="e">
        <f>(O24/N24-1)*100</f>
        <v>#DIV/0!</v>
      </c>
      <c r="Q24" s="479" t="s">
        <v>207</v>
      </c>
      <c r="R24" s="481">
        <v>3973</v>
      </c>
      <c r="S24" s="481">
        <v>4772</v>
      </c>
      <c r="T24" s="482">
        <f>(S24/R24-1)*100</f>
        <v>20.1107475459351</v>
      </c>
      <c r="U24" s="485" t="s">
        <v>208</v>
      </c>
      <c r="V24" s="481"/>
      <c r="W24" s="481"/>
      <c r="X24" s="482"/>
      <c r="Y24" s="479" t="s">
        <v>207</v>
      </c>
      <c r="Z24" s="480">
        <v>1956</v>
      </c>
      <c r="AA24" s="480">
        <v>4361</v>
      </c>
      <c r="AB24" s="482"/>
      <c r="AC24" s="485" t="s">
        <v>208</v>
      </c>
      <c r="AD24" s="481"/>
      <c r="AE24" s="481"/>
      <c r="AF24" s="482" t="e">
        <f>(AE24/AD24-1)*100</f>
        <v>#DIV/0!</v>
      </c>
      <c r="AG24" s="479" t="s">
        <v>207</v>
      </c>
      <c r="AH24" s="481">
        <v>564</v>
      </c>
      <c r="AI24" s="481">
        <v>1049</v>
      </c>
      <c r="AJ24" s="482"/>
      <c r="AK24" s="485" t="s">
        <v>208</v>
      </c>
      <c r="AL24" s="481"/>
      <c r="AM24" s="481">
        <v>1049</v>
      </c>
      <c r="AN24" s="491"/>
      <c r="AO24" s="479" t="s">
        <v>207</v>
      </c>
      <c r="AP24" s="481">
        <v>733</v>
      </c>
      <c r="AQ24" s="481">
        <v>88</v>
      </c>
      <c r="AR24" s="482"/>
      <c r="AS24" s="485" t="s">
        <v>208</v>
      </c>
      <c r="AT24" s="481"/>
      <c r="AU24" s="481"/>
      <c r="AV24" s="482" t="e">
        <f>(AU24/AT24-1)*100</f>
        <v>#DIV/0!</v>
      </c>
      <c r="AW24" s="479" t="s">
        <v>207</v>
      </c>
      <c r="AX24" s="481">
        <v>658</v>
      </c>
      <c r="AY24" s="481">
        <v>857</v>
      </c>
      <c r="AZ24" s="482"/>
      <c r="BA24" s="485" t="s">
        <v>208</v>
      </c>
      <c r="BB24" s="481"/>
      <c r="BC24" s="481"/>
      <c r="BD24" s="482" t="e">
        <f>(BC24/BB24-1)*100</f>
        <v>#DIV/0!</v>
      </c>
    </row>
    <row r="25" ht="27.95" customHeight="true" spans="1:56">
      <c r="A25" s="479" t="s">
        <v>209</v>
      </c>
      <c r="B25" s="480">
        <f t="shared" ref="B25:G25" si="27">J25+R25+Z25+AH25+AP25+AX25</f>
        <v>6602</v>
      </c>
      <c r="C25" s="480">
        <f t="shared" si="27"/>
        <v>15613</v>
      </c>
      <c r="D25" s="256">
        <f>(C25/B25-1)*100</f>
        <v>136.488942744623</v>
      </c>
      <c r="E25" s="485" t="s">
        <v>210</v>
      </c>
      <c r="F25" s="480">
        <f t="shared" si="27"/>
        <v>0</v>
      </c>
      <c r="G25" s="480">
        <f t="shared" si="27"/>
        <v>0</v>
      </c>
      <c r="H25" s="482">
        <v>0</v>
      </c>
      <c r="I25" s="479" t="s">
        <v>209</v>
      </c>
      <c r="J25" s="480"/>
      <c r="K25" s="480">
        <v>4562</v>
      </c>
      <c r="L25" s="482"/>
      <c r="M25" s="485" t="s">
        <v>210</v>
      </c>
      <c r="N25" s="480"/>
      <c r="O25" s="480"/>
      <c r="P25" s="482">
        <v>0</v>
      </c>
      <c r="Q25" s="479" t="s">
        <v>209</v>
      </c>
      <c r="R25" s="480"/>
      <c r="S25" s="480">
        <v>2221</v>
      </c>
      <c r="T25" s="482"/>
      <c r="U25" s="485" t="s">
        <v>210</v>
      </c>
      <c r="V25" s="480"/>
      <c r="W25" s="480"/>
      <c r="X25" s="482">
        <v>0</v>
      </c>
      <c r="Y25" s="479" t="s">
        <v>209</v>
      </c>
      <c r="Z25" s="480">
        <v>4321</v>
      </c>
      <c r="AA25" s="480">
        <v>939</v>
      </c>
      <c r="AB25" s="482"/>
      <c r="AC25" s="485" t="s">
        <v>210</v>
      </c>
      <c r="AD25" s="480"/>
      <c r="AE25" s="480"/>
      <c r="AF25" s="482">
        <v>0</v>
      </c>
      <c r="AG25" s="479" t="s">
        <v>209</v>
      </c>
      <c r="AH25" s="480"/>
      <c r="AI25" s="480">
        <v>2245</v>
      </c>
      <c r="AJ25" s="482"/>
      <c r="AK25" s="485" t="s">
        <v>210</v>
      </c>
      <c r="AL25" s="480"/>
      <c r="AM25" s="480"/>
      <c r="AN25" s="491"/>
      <c r="AO25" s="479" t="s">
        <v>209</v>
      </c>
      <c r="AP25" s="480">
        <v>2281</v>
      </c>
      <c r="AQ25" s="480">
        <v>5646</v>
      </c>
      <c r="AR25" s="482"/>
      <c r="AS25" s="485" t="s">
        <v>210</v>
      </c>
      <c r="AT25" s="480"/>
      <c r="AU25" s="480"/>
      <c r="AV25" s="482">
        <v>0</v>
      </c>
      <c r="AW25" s="479" t="s">
        <v>209</v>
      </c>
      <c r="AX25" s="480"/>
      <c r="AY25" s="480"/>
      <c r="AZ25" s="482"/>
      <c r="BA25" s="485" t="s">
        <v>210</v>
      </c>
      <c r="BB25" s="480"/>
      <c r="BC25" s="480"/>
      <c r="BD25" s="482">
        <v>0</v>
      </c>
    </row>
    <row r="26" ht="27.95" customHeight="true" spans="1:56">
      <c r="A26" s="479" t="s">
        <v>211</v>
      </c>
      <c r="B26" s="480">
        <f t="shared" ref="B26:G26" si="28">J26+R26+Z26+AH26+AP26+AX26</f>
        <v>0</v>
      </c>
      <c r="C26" s="480">
        <f t="shared" si="28"/>
        <v>1600</v>
      </c>
      <c r="D26" s="482"/>
      <c r="E26" s="485" t="s">
        <v>212</v>
      </c>
      <c r="F26" s="480">
        <f t="shared" si="28"/>
        <v>0</v>
      </c>
      <c r="G26" s="480">
        <f t="shared" si="28"/>
        <v>0</v>
      </c>
      <c r="H26" s="482">
        <v>0</v>
      </c>
      <c r="I26" s="479" t="s">
        <v>211</v>
      </c>
      <c r="J26" s="480"/>
      <c r="K26" s="480"/>
      <c r="L26" s="482"/>
      <c r="M26" s="485" t="s">
        <v>212</v>
      </c>
      <c r="N26" s="480"/>
      <c r="O26" s="480"/>
      <c r="P26" s="482">
        <v>0</v>
      </c>
      <c r="Q26" s="479" t="s">
        <v>211</v>
      </c>
      <c r="R26" s="480"/>
      <c r="S26" s="480"/>
      <c r="T26" s="482"/>
      <c r="U26" s="485" t="s">
        <v>212</v>
      </c>
      <c r="V26" s="480"/>
      <c r="W26" s="480"/>
      <c r="X26" s="482">
        <v>0</v>
      </c>
      <c r="Y26" s="479" t="s">
        <v>211</v>
      </c>
      <c r="Z26" s="480"/>
      <c r="AA26" s="480"/>
      <c r="AB26" s="482"/>
      <c r="AC26" s="485" t="s">
        <v>212</v>
      </c>
      <c r="AD26" s="480"/>
      <c r="AE26" s="480"/>
      <c r="AF26" s="482">
        <v>0</v>
      </c>
      <c r="AG26" s="479" t="s">
        <v>211</v>
      </c>
      <c r="AH26" s="480"/>
      <c r="AI26" s="480"/>
      <c r="AJ26" s="482"/>
      <c r="AK26" s="485" t="s">
        <v>212</v>
      </c>
      <c r="AL26" s="480"/>
      <c r="AM26" s="480"/>
      <c r="AN26" s="491"/>
      <c r="AO26" s="479" t="s">
        <v>211</v>
      </c>
      <c r="AP26" s="480"/>
      <c r="AQ26" s="480">
        <v>1600</v>
      </c>
      <c r="AR26" s="482"/>
      <c r="AS26" s="485" t="s">
        <v>212</v>
      </c>
      <c r="AT26" s="480"/>
      <c r="AU26" s="480"/>
      <c r="AV26" s="482">
        <v>0</v>
      </c>
      <c r="AW26" s="479" t="s">
        <v>211</v>
      </c>
      <c r="AX26" s="480"/>
      <c r="AY26" s="480"/>
      <c r="AZ26" s="482"/>
      <c r="BA26" s="485" t="s">
        <v>212</v>
      </c>
      <c r="BB26" s="480"/>
      <c r="BC26" s="480"/>
      <c r="BD26" s="482">
        <v>0</v>
      </c>
    </row>
    <row r="27" s="145" customFormat="true" ht="32" customHeight="true" spans="1:56">
      <c r="A27" s="483" t="s">
        <v>213</v>
      </c>
      <c r="B27" s="481">
        <f>B28</f>
        <v>0</v>
      </c>
      <c r="C27" s="481">
        <f>C28</f>
        <v>0</v>
      </c>
      <c r="D27" s="482">
        <v>0</v>
      </c>
      <c r="E27" s="486" t="s">
        <v>214</v>
      </c>
      <c r="F27" s="481">
        <f>SUM(F28:F29)</f>
        <v>11962</v>
      </c>
      <c r="G27" s="481">
        <f>SUM(G28:G29)</f>
        <v>111938</v>
      </c>
      <c r="H27" s="256">
        <f t="shared" si="19"/>
        <v>835.779969904698</v>
      </c>
      <c r="I27" s="483" t="s">
        <v>213</v>
      </c>
      <c r="J27" s="481">
        <f>J28</f>
        <v>0</v>
      </c>
      <c r="K27" s="481">
        <f>K28</f>
        <v>0</v>
      </c>
      <c r="L27" s="482">
        <v>0</v>
      </c>
      <c r="M27" s="486" t="s">
        <v>214</v>
      </c>
      <c r="N27" s="481">
        <f t="shared" ref="N27:S27" si="29">SUM(N28:N29)</f>
        <v>0</v>
      </c>
      <c r="O27" s="481">
        <f t="shared" si="29"/>
        <v>65000</v>
      </c>
      <c r="P27" s="482">
        <v>0</v>
      </c>
      <c r="Q27" s="483" t="s">
        <v>213</v>
      </c>
      <c r="R27" s="481">
        <f t="shared" si="29"/>
        <v>0</v>
      </c>
      <c r="S27" s="481">
        <f t="shared" si="29"/>
        <v>0</v>
      </c>
      <c r="T27" s="482">
        <v>0</v>
      </c>
      <c r="U27" s="486" t="s">
        <v>214</v>
      </c>
      <c r="V27" s="481">
        <f>SUM(V28:V29)</f>
        <v>2167</v>
      </c>
      <c r="W27" s="481">
        <f>SUM(W28:W29)</f>
        <v>1590</v>
      </c>
      <c r="X27" s="482">
        <v>0</v>
      </c>
      <c r="Y27" s="483" t="s">
        <v>213</v>
      </c>
      <c r="Z27" s="481">
        <f t="shared" ref="Z27:AE27" si="30">SUM(Z28:Z29)</f>
        <v>0</v>
      </c>
      <c r="AA27" s="481">
        <f t="shared" si="30"/>
        <v>0</v>
      </c>
      <c r="AB27" s="482">
        <v>0</v>
      </c>
      <c r="AC27" s="486" t="s">
        <v>214</v>
      </c>
      <c r="AD27" s="481">
        <f t="shared" si="30"/>
        <v>1500</v>
      </c>
      <c r="AE27" s="481">
        <f t="shared" si="30"/>
        <v>2300</v>
      </c>
      <c r="AF27" s="482">
        <v>0</v>
      </c>
      <c r="AG27" s="483" t="s">
        <v>213</v>
      </c>
      <c r="AH27" s="481">
        <f t="shared" ref="AH27:AM27" si="31">SUM(AH28:AH29)</f>
        <v>0</v>
      </c>
      <c r="AI27" s="481">
        <f>SUM(AI28)</f>
        <v>0</v>
      </c>
      <c r="AJ27" s="482">
        <v>0</v>
      </c>
      <c r="AK27" s="486" t="s">
        <v>214</v>
      </c>
      <c r="AL27" s="481">
        <f t="shared" si="31"/>
        <v>2667</v>
      </c>
      <c r="AM27" s="481">
        <f t="shared" si="31"/>
        <v>15612</v>
      </c>
      <c r="AN27" s="492">
        <f t="shared" ref="AN27:AN30" si="32">AM27/AL27-1</f>
        <v>4.85376827896513</v>
      </c>
      <c r="AO27" s="483" t="s">
        <v>213</v>
      </c>
      <c r="AP27" s="481">
        <f t="shared" ref="AP27:AU27" si="33">SUM(AP28:AP29)</f>
        <v>0</v>
      </c>
      <c r="AQ27" s="481">
        <f>SUM(AQ28:AQ28)</f>
        <v>0</v>
      </c>
      <c r="AR27" s="482">
        <v>0</v>
      </c>
      <c r="AS27" s="486" t="s">
        <v>214</v>
      </c>
      <c r="AT27" s="481">
        <f t="shared" si="33"/>
        <v>1667</v>
      </c>
      <c r="AU27" s="481">
        <f t="shared" si="33"/>
        <v>23291</v>
      </c>
      <c r="AV27" s="482">
        <v>0</v>
      </c>
      <c r="AW27" s="483" t="s">
        <v>213</v>
      </c>
      <c r="AX27" s="481">
        <f t="shared" ref="AX27:BC27" si="34">SUM(AX28:AX29)</f>
        <v>0</v>
      </c>
      <c r="AY27" s="481">
        <f t="shared" si="34"/>
        <v>0</v>
      </c>
      <c r="AZ27" s="482">
        <v>0</v>
      </c>
      <c r="BA27" s="486" t="s">
        <v>214</v>
      </c>
      <c r="BB27" s="481">
        <f t="shared" si="34"/>
        <v>3961</v>
      </c>
      <c r="BC27" s="481">
        <f t="shared" si="34"/>
        <v>4145</v>
      </c>
      <c r="BD27" s="482">
        <v>0</v>
      </c>
    </row>
    <row r="28" s="145" customFormat="true" ht="32" customHeight="true" spans="1:56">
      <c r="A28" s="479" t="s">
        <v>215</v>
      </c>
      <c r="B28" s="480">
        <f t="shared" ref="B28:G28" si="35">J28+R28+Z28+AH28+AP28+AX28</f>
        <v>0</v>
      </c>
      <c r="C28" s="480">
        <f t="shared" si="35"/>
        <v>0</v>
      </c>
      <c r="D28" s="482"/>
      <c r="E28" s="485" t="s">
        <v>216</v>
      </c>
      <c r="F28" s="480">
        <f t="shared" si="35"/>
        <v>11962</v>
      </c>
      <c r="G28" s="480">
        <f t="shared" si="35"/>
        <v>111938</v>
      </c>
      <c r="H28" s="256">
        <f t="shared" si="19"/>
        <v>835.779969904698</v>
      </c>
      <c r="I28" s="479" t="s">
        <v>215</v>
      </c>
      <c r="J28" s="480"/>
      <c r="K28" s="480"/>
      <c r="L28" s="482"/>
      <c r="M28" s="485" t="s">
        <v>216</v>
      </c>
      <c r="N28" s="480"/>
      <c r="O28" s="480">
        <v>65000</v>
      </c>
      <c r="P28" s="482">
        <v>0</v>
      </c>
      <c r="Q28" s="479" t="s">
        <v>215</v>
      </c>
      <c r="R28" s="480"/>
      <c r="S28" s="480"/>
      <c r="T28" s="482"/>
      <c r="U28" s="485" t="s">
        <v>216</v>
      </c>
      <c r="V28" s="480">
        <v>2167</v>
      </c>
      <c r="W28" s="480">
        <v>1590</v>
      </c>
      <c r="X28" s="482">
        <v>0</v>
      </c>
      <c r="Y28" s="479" t="s">
        <v>215</v>
      </c>
      <c r="Z28" s="480"/>
      <c r="AA28" s="480"/>
      <c r="AB28" s="482"/>
      <c r="AC28" s="485" t="s">
        <v>216</v>
      </c>
      <c r="AD28" s="480">
        <v>1500</v>
      </c>
      <c r="AE28" s="480">
        <v>2300</v>
      </c>
      <c r="AF28" s="482">
        <v>0</v>
      </c>
      <c r="AG28" s="479" t="s">
        <v>215</v>
      </c>
      <c r="AH28" s="480"/>
      <c r="AI28" s="480"/>
      <c r="AJ28" s="482"/>
      <c r="AK28" s="485" t="s">
        <v>216</v>
      </c>
      <c r="AL28" s="480">
        <v>2667</v>
      </c>
      <c r="AM28" s="480">
        <v>15612</v>
      </c>
      <c r="AN28" s="491">
        <f t="shared" si="32"/>
        <v>4.85376827896513</v>
      </c>
      <c r="AO28" s="479" t="s">
        <v>215</v>
      </c>
      <c r="AP28" s="480"/>
      <c r="AQ28" s="480"/>
      <c r="AR28" s="482"/>
      <c r="AS28" s="485" t="s">
        <v>216</v>
      </c>
      <c r="AT28" s="480">
        <v>1667</v>
      </c>
      <c r="AU28" s="480">
        <v>23291</v>
      </c>
      <c r="AV28" s="482">
        <v>0</v>
      </c>
      <c r="AW28" s="479" t="s">
        <v>215</v>
      </c>
      <c r="AX28" s="480"/>
      <c r="AY28" s="480"/>
      <c r="AZ28" s="482"/>
      <c r="BA28" s="485" t="s">
        <v>216</v>
      </c>
      <c r="BB28" s="480">
        <v>3961</v>
      </c>
      <c r="BC28" s="480">
        <v>4145</v>
      </c>
      <c r="BD28" s="482">
        <v>0</v>
      </c>
    </row>
    <row r="29" s="145" customFormat="true" ht="27.95" customHeight="true" spans="1:56">
      <c r="A29" s="483" t="s">
        <v>217</v>
      </c>
      <c r="B29" s="480">
        <f t="shared" ref="B29:G29" si="36">J29+R29+Z29+AH29+AP29+AX29</f>
        <v>0</v>
      </c>
      <c r="C29" s="480">
        <f t="shared" si="36"/>
        <v>97900</v>
      </c>
      <c r="D29" s="482"/>
      <c r="E29" s="485"/>
      <c r="F29" s="480">
        <f t="shared" si="36"/>
        <v>0</v>
      </c>
      <c r="G29" s="480">
        <f t="shared" si="36"/>
        <v>0</v>
      </c>
      <c r="H29" s="256">
        <v>0</v>
      </c>
      <c r="I29" s="483" t="s">
        <v>217</v>
      </c>
      <c r="J29" s="480"/>
      <c r="K29" s="480">
        <v>65000</v>
      </c>
      <c r="L29" s="482"/>
      <c r="M29" s="485"/>
      <c r="N29" s="480"/>
      <c r="O29" s="480"/>
      <c r="P29" s="482">
        <v>1</v>
      </c>
      <c r="Q29" s="483" t="s">
        <v>217</v>
      </c>
      <c r="R29" s="480"/>
      <c r="S29" s="480"/>
      <c r="T29" s="482"/>
      <c r="U29" s="485"/>
      <c r="V29" s="480"/>
      <c r="W29" s="480"/>
      <c r="X29" s="482"/>
      <c r="Y29" s="483" t="s">
        <v>217</v>
      </c>
      <c r="Z29" s="480"/>
      <c r="AA29" s="480"/>
      <c r="AB29" s="482"/>
      <c r="AC29" s="485"/>
      <c r="AD29" s="480"/>
      <c r="AE29" s="480"/>
      <c r="AF29" s="482">
        <v>1</v>
      </c>
      <c r="AG29" s="483" t="s">
        <v>217</v>
      </c>
      <c r="AH29" s="480"/>
      <c r="AI29" s="480">
        <v>12000</v>
      </c>
      <c r="AJ29" s="482"/>
      <c r="AK29" s="485"/>
      <c r="AL29" s="480"/>
      <c r="AM29" s="480"/>
      <c r="AN29" s="491"/>
      <c r="AO29" s="483" t="s">
        <v>217</v>
      </c>
      <c r="AP29" s="480"/>
      <c r="AQ29" s="480">
        <v>20900</v>
      </c>
      <c r="AR29" s="482"/>
      <c r="AS29" s="485"/>
      <c r="AT29" s="480"/>
      <c r="AU29" s="480"/>
      <c r="AV29" s="482">
        <v>1</v>
      </c>
      <c r="AW29" s="483" t="s">
        <v>217</v>
      </c>
      <c r="AX29" s="480"/>
      <c r="AY29" s="480"/>
      <c r="AZ29" s="482"/>
      <c r="BA29" s="485"/>
      <c r="BB29" s="480"/>
      <c r="BC29" s="480"/>
      <c r="BD29" s="482">
        <v>1</v>
      </c>
    </row>
    <row r="30" s="145" customFormat="true" ht="27.95" customHeight="true" spans="1:56">
      <c r="A30" s="478" t="s">
        <v>218</v>
      </c>
      <c r="B30" s="481">
        <f>B22+B23+B27+B29</f>
        <v>93366</v>
      </c>
      <c r="C30" s="481">
        <f>C22+C23+C27+C29</f>
        <v>222839</v>
      </c>
      <c r="D30" s="482">
        <f>(C30/B30-1)*100</f>
        <v>138.672536040957</v>
      </c>
      <c r="E30" s="487" t="s">
        <v>68</v>
      </c>
      <c r="F30" s="481">
        <f>F22+F23+F27</f>
        <v>93366</v>
      </c>
      <c r="G30" s="481">
        <f>G22+G23+G27</f>
        <v>222839.38</v>
      </c>
      <c r="H30" s="482">
        <f>(G30/F30-1)*100</f>
        <v>138.672943041364</v>
      </c>
      <c r="I30" s="478" t="s">
        <v>218</v>
      </c>
      <c r="J30" s="481">
        <f>J22+J23+J27+J29</f>
        <v>55700</v>
      </c>
      <c r="K30" s="481">
        <f>K22+K23+K27+K29</f>
        <v>140495</v>
      </c>
      <c r="L30" s="482">
        <f>(K30/J30-1)*100</f>
        <v>152.235188509874</v>
      </c>
      <c r="M30" s="487" t="s">
        <v>68</v>
      </c>
      <c r="N30" s="481">
        <f>N22+N23+N27</f>
        <v>55700</v>
      </c>
      <c r="O30" s="481">
        <f>O22+O23+O27</f>
        <v>140495</v>
      </c>
      <c r="P30" s="482">
        <f>(O30/N30-1)*100</f>
        <v>152.235188509874</v>
      </c>
      <c r="Q30" s="478" t="s">
        <v>218</v>
      </c>
      <c r="R30" s="481">
        <f>R22+R23+R27+R29</f>
        <v>3973</v>
      </c>
      <c r="S30" s="481">
        <f>S22+S23+S27+S29</f>
        <v>7279</v>
      </c>
      <c r="T30" s="482">
        <f>(S30/R30-1)*100</f>
        <v>83.2116788321168</v>
      </c>
      <c r="U30" s="487" t="s">
        <v>68</v>
      </c>
      <c r="V30" s="481">
        <f>V22+V23+V27</f>
        <v>3973</v>
      </c>
      <c r="W30" s="481">
        <f>W22+W23+W27</f>
        <v>7279.38</v>
      </c>
      <c r="X30" s="482">
        <f>(W30/V30-1)*100</f>
        <v>83.2212433929021</v>
      </c>
      <c r="Y30" s="478" t="s">
        <v>218</v>
      </c>
      <c r="Z30" s="481">
        <f>Z22+Z23+Z27+Z29</f>
        <v>16277</v>
      </c>
      <c r="AA30" s="481">
        <f>AA22+AA23+AA27+AA29</f>
        <v>15300</v>
      </c>
      <c r="AB30" s="482">
        <f>(AA30/Z30-1)*100</f>
        <v>-6.00233458253978</v>
      </c>
      <c r="AC30" s="487" t="s">
        <v>68</v>
      </c>
      <c r="AD30" s="481">
        <f>AD22+AD23+AD27</f>
        <v>16277</v>
      </c>
      <c r="AE30" s="481">
        <f>AE22+AE23+AE27</f>
        <v>15300</v>
      </c>
      <c r="AF30" s="482">
        <f>(AE30/AD30-1)*100</f>
        <v>-6.00233458253978</v>
      </c>
      <c r="AG30" s="478" t="s">
        <v>218</v>
      </c>
      <c r="AH30" s="481">
        <f>AH22+AH23+AH27+AH29</f>
        <v>4964</v>
      </c>
      <c r="AI30" s="481">
        <f>AI22+AI23+AI27+AI29</f>
        <v>22294</v>
      </c>
      <c r="AJ30" s="492">
        <f>(AI30/AH30-1)</f>
        <v>3.4911361804996</v>
      </c>
      <c r="AK30" s="487" t="s">
        <v>68</v>
      </c>
      <c r="AL30" s="481">
        <f>AL22+AL23+AL27</f>
        <v>4964</v>
      </c>
      <c r="AM30" s="481">
        <f>AM22+AM23+AM27</f>
        <v>22294</v>
      </c>
      <c r="AN30" s="492">
        <f t="shared" si="32"/>
        <v>3.4911361804996</v>
      </c>
      <c r="AO30" s="478" t="s">
        <v>218</v>
      </c>
      <c r="AP30" s="481">
        <f>AP22+AP23+AP27+AP29</f>
        <v>6114</v>
      </c>
      <c r="AQ30" s="481">
        <f>AQ22+AQ23+AQ27+AQ29</f>
        <v>30734</v>
      </c>
      <c r="AR30" s="482">
        <f>(AQ30/AP30-1)*100</f>
        <v>402.682368334969</v>
      </c>
      <c r="AS30" s="487" t="s">
        <v>68</v>
      </c>
      <c r="AT30" s="481">
        <f>AT22+AT23+AT27</f>
        <v>6114</v>
      </c>
      <c r="AU30" s="481">
        <f>AU22+AU23+AU27</f>
        <v>30734</v>
      </c>
      <c r="AV30" s="482">
        <f>(AU30/AT30-1)*100</f>
        <v>402.682368334969</v>
      </c>
      <c r="AW30" s="478" t="s">
        <v>218</v>
      </c>
      <c r="AX30" s="481">
        <f>AX22+AX23+AX27+AX29</f>
        <v>6338</v>
      </c>
      <c r="AY30" s="481">
        <f>AY22+AY23+AY27+AY29</f>
        <v>6737</v>
      </c>
      <c r="AZ30" s="482">
        <f>(AY30/AX30-1)*100</f>
        <v>6.29536131271695</v>
      </c>
      <c r="BA30" s="487" t="s">
        <v>68</v>
      </c>
      <c r="BB30" s="481">
        <f>BB22+BB23+BB27</f>
        <v>6338</v>
      </c>
      <c r="BC30" s="481">
        <f>BC22+BC23+BC27</f>
        <v>6737</v>
      </c>
      <c r="BD30" s="482">
        <f>(BC30/BB30-1)*100</f>
        <v>6.29536131271695</v>
      </c>
    </row>
    <row r="31" ht="24.75" customHeight="true"/>
    <row r="32" ht="24.75" customHeight="true"/>
    <row r="33" ht="24.75" customHeight="true"/>
  </sheetData>
  <mergeCells count="21">
    <mergeCell ref="A2:H2"/>
    <mergeCell ref="I2:P2"/>
    <mergeCell ref="Q2:X2"/>
    <mergeCell ref="Y2:AF2"/>
    <mergeCell ref="AG2:AN2"/>
    <mergeCell ref="AO2:AV2"/>
    <mergeCell ref="AW2:BD2"/>
    <mergeCell ref="A4:D4"/>
    <mergeCell ref="E4:H4"/>
    <mergeCell ref="I4:L4"/>
    <mergeCell ref="M4:P4"/>
    <mergeCell ref="Q4:T4"/>
    <mergeCell ref="U4:X4"/>
    <mergeCell ref="Y4:AB4"/>
    <mergeCell ref="AC4:AF4"/>
    <mergeCell ref="AG4:AJ4"/>
    <mergeCell ref="AK4:AN4"/>
    <mergeCell ref="AO4:AR4"/>
    <mergeCell ref="AS4:AV4"/>
    <mergeCell ref="AW4:AZ4"/>
    <mergeCell ref="BA4:BD4"/>
  </mergeCells>
  <printOptions horizontalCentered="true"/>
  <pageMargins left="0.16" right="0.2" top="0.51" bottom="0.55" header="0.47" footer="0.51"/>
  <pageSetup paperSize="9" scale="73" firstPageNumber="5" orientation="landscape" useFirstPageNumber="true" horizontalDpi="600" verticalDpi="600"/>
  <headerFooter alignWithMargins="0" scaleWithDoc="0">
    <oddFooter>&amp;C&amp;"Arial"&amp;10第 &amp;P 页</oddFooter>
  </headerFooter>
  <ignoredErrors>
    <ignoredError sqref="D10" evalError="true"/>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6"/>
  <sheetViews>
    <sheetView showGridLines="0" showZeros="0" zoomScale="130" zoomScaleNormal="130" workbookViewId="0">
      <selection activeCell="B14" sqref="B14"/>
    </sheetView>
  </sheetViews>
  <sheetFormatPr defaultColWidth="9" defaultRowHeight="14.25"/>
  <cols>
    <col min="1" max="1" width="32.8" style="130" customWidth="true"/>
    <col min="2" max="2" width="17.5" style="130" customWidth="true"/>
    <col min="3" max="3" width="35.8333333333333" style="130" customWidth="true"/>
    <col min="4" max="4" width="17.3333333333333" style="130" customWidth="true"/>
    <col min="5" max="242" width="9" style="130" customWidth="true"/>
    <col min="243" max="254" width="9" style="161" customWidth="true"/>
    <col min="255" max="16384" width="9" style="127"/>
  </cols>
  <sheetData>
    <row r="1" spans="1:1">
      <c r="A1" s="98" t="s">
        <v>219</v>
      </c>
    </row>
    <row r="2" ht="30" customHeight="true" spans="1:4">
      <c r="A2" s="131" t="s">
        <v>220</v>
      </c>
      <c r="B2" s="131"/>
      <c r="C2" s="131"/>
      <c r="D2" s="131"/>
    </row>
    <row r="3" ht="32.1" customHeight="true" spans="4:4">
      <c r="D3" s="130" t="s">
        <v>3</v>
      </c>
    </row>
    <row r="4" ht="29.1" customHeight="true" spans="1:4">
      <c r="A4" s="162" t="s">
        <v>221</v>
      </c>
      <c r="B4" s="162"/>
      <c r="C4" s="162" t="s">
        <v>222</v>
      </c>
      <c r="D4" s="162"/>
    </row>
    <row r="5" ht="29.1" customHeight="true" spans="1:4">
      <c r="A5" s="163" t="s">
        <v>223</v>
      </c>
      <c r="B5" s="163" t="s">
        <v>5</v>
      </c>
      <c r="C5" s="163" t="s">
        <v>223</v>
      </c>
      <c r="D5" s="163" t="s">
        <v>5</v>
      </c>
    </row>
    <row r="6" s="127" customFormat="true" ht="29.1" customHeight="true" spans="1:254">
      <c r="A6" s="164" t="s">
        <v>224</v>
      </c>
      <c r="B6" s="164">
        <v>235</v>
      </c>
      <c r="C6" s="164" t="s">
        <v>225</v>
      </c>
      <c r="D6" s="164">
        <v>47</v>
      </c>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row>
    <row r="7" s="127" customFormat="true" ht="29.1" customHeight="true" spans="1:254">
      <c r="A7" s="164" t="s">
        <v>226</v>
      </c>
      <c r="B7" s="164"/>
      <c r="C7" s="164" t="s">
        <v>227</v>
      </c>
      <c r="D7" s="164"/>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c r="IF7" s="161"/>
      <c r="IG7" s="161"/>
      <c r="IH7" s="161"/>
      <c r="II7" s="161"/>
      <c r="IJ7" s="161"/>
      <c r="IK7" s="161"/>
      <c r="IL7" s="161"/>
      <c r="IM7" s="161"/>
      <c r="IN7" s="161"/>
      <c r="IO7" s="161"/>
      <c r="IP7" s="161"/>
      <c r="IQ7" s="161"/>
      <c r="IR7" s="161"/>
      <c r="IS7" s="161"/>
      <c r="IT7" s="161"/>
    </row>
    <row r="8" s="127" customFormat="true" ht="29.1" customHeight="true" spans="1:254">
      <c r="A8" s="164" t="s">
        <v>228</v>
      </c>
      <c r="B8" s="164"/>
      <c r="C8" s="164" t="s">
        <v>229</v>
      </c>
      <c r="D8" s="164"/>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161"/>
      <c r="DU8" s="161"/>
      <c r="DV8" s="161"/>
      <c r="DW8" s="161"/>
      <c r="DX8" s="161"/>
      <c r="DY8" s="161"/>
      <c r="DZ8" s="161"/>
      <c r="EA8" s="161"/>
      <c r="EB8" s="161"/>
      <c r="EC8" s="161"/>
      <c r="ED8" s="161"/>
      <c r="EE8" s="161"/>
      <c r="EF8" s="161"/>
      <c r="EG8" s="161"/>
      <c r="EH8" s="161"/>
      <c r="EI8" s="161"/>
      <c r="EJ8" s="161"/>
      <c r="EK8" s="161"/>
      <c r="EL8" s="161"/>
      <c r="EM8" s="161"/>
      <c r="EN8" s="161"/>
      <c r="EO8" s="161"/>
      <c r="EP8" s="161"/>
      <c r="EQ8" s="161"/>
      <c r="ER8" s="161"/>
      <c r="ES8" s="161"/>
      <c r="ET8" s="161"/>
      <c r="EU8" s="161"/>
      <c r="EV8" s="161"/>
      <c r="EW8" s="161"/>
      <c r="EX8" s="161"/>
      <c r="EY8" s="161"/>
      <c r="EZ8" s="161"/>
      <c r="FA8" s="161"/>
      <c r="FB8" s="161"/>
      <c r="FC8" s="161"/>
      <c r="FD8" s="161"/>
      <c r="FE8" s="161"/>
      <c r="FF8" s="161"/>
      <c r="FG8" s="161"/>
      <c r="FH8" s="161"/>
      <c r="FI8" s="161"/>
      <c r="FJ8" s="161"/>
      <c r="FK8" s="161"/>
      <c r="FL8" s="161"/>
      <c r="FM8" s="161"/>
      <c r="FN8" s="161"/>
      <c r="FO8" s="161"/>
      <c r="FP8" s="161"/>
      <c r="FQ8" s="161"/>
      <c r="FR8" s="161"/>
      <c r="FS8" s="161"/>
      <c r="FT8" s="161"/>
      <c r="FU8" s="161"/>
      <c r="FV8" s="161"/>
      <c r="FW8" s="161"/>
      <c r="FX8" s="161"/>
      <c r="FY8" s="161"/>
      <c r="FZ8" s="161"/>
      <c r="GA8" s="161"/>
      <c r="GB8" s="161"/>
      <c r="GC8" s="161"/>
      <c r="GD8" s="161"/>
      <c r="GE8" s="161"/>
      <c r="GF8" s="161"/>
      <c r="GG8" s="161"/>
      <c r="GH8" s="161"/>
      <c r="GI8" s="161"/>
      <c r="GJ8" s="161"/>
      <c r="GK8" s="161"/>
      <c r="GL8" s="161"/>
      <c r="GM8" s="161"/>
      <c r="GN8" s="161"/>
      <c r="GO8" s="161"/>
      <c r="GP8" s="161"/>
      <c r="GQ8" s="161"/>
      <c r="GR8" s="161"/>
      <c r="GS8" s="161"/>
      <c r="GT8" s="161"/>
      <c r="GU8" s="161"/>
      <c r="GV8" s="161"/>
      <c r="GW8" s="161"/>
      <c r="GX8" s="161"/>
      <c r="GY8" s="161"/>
      <c r="GZ8" s="161"/>
      <c r="HA8" s="161"/>
      <c r="HB8" s="161"/>
      <c r="HC8" s="161"/>
      <c r="HD8" s="161"/>
      <c r="HE8" s="161"/>
      <c r="HF8" s="161"/>
      <c r="HG8" s="161"/>
      <c r="HH8" s="161"/>
      <c r="HI8" s="161"/>
      <c r="HJ8" s="161"/>
      <c r="HK8" s="161"/>
      <c r="HL8" s="161"/>
      <c r="HM8" s="161"/>
      <c r="HN8" s="161"/>
      <c r="HO8" s="161"/>
      <c r="HP8" s="161"/>
      <c r="HQ8" s="161"/>
      <c r="HR8" s="161"/>
      <c r="HS8" s="161"/>
      <c r="HT8" s="161"/>
      <c r="HU8" s="161"/>
      <c r="HV8" s="161"/>
      <c r="HW8" s="161"/>
      <c r="HX8" s="161"/>
      <c r="HY8" s="161"/>
      <c r="HZ8" s="161"/>
      <c r="IA8" s="161"/>
      <c r="IB8" s="161"/>
      <c r="IC8" s="161"/>
      <c r="ID8" s="161"/>
      <c r="IE8" s="161"/>
      <c r="IF8" s="161"/>
      <c r="IG8" s="161"/>
      <c r="IH8" s="161"/>
      <c r="II8" s="161"/>
      <c r="IJ8" s="161"/>
      <c r="IK8" s="161"/>
      <c r="IL8" s="161"/>
      <c r="IM8" s="161"/>
      <c r="IN8" s="161"/>
      <c r="IO8" s="161"/>
      <c r="IP8" s="161"/>
      <c r="IQ8" s="161"/>
      <c r="IR8" s="161"/>
      <c r="IS8" s="161"/>
      <c r="IT8" s="161"/>
    </row>
    <row r="9" s="127" customFormat="true" ht="29.1" customHeight="true" spans="1:254">
      <c r="A9" s="164" t="s">
        <v>230</v>
      </c>
      <c r="B9" s="164"/>
      <c r="C9" s="164" t="s">
        <v>231</v>
      </c>
      <c r="D9" s="164"/>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c r="DJ9" s="161"/>
      <c r="DK9" s="161"/>
      <c r="DL9" s="161"/>
      <c r="DM9" s="161"/>
      <c r="DN9" s="161"/>
      <c r="DO9" s="161"/>
      <c r="DP9" s="161"/>
      <c r="DQ9" s="161"/>
      <c r="DR9" s="161"/>
      <c r="DS9" s="161"/>
      <c r="DT9" s="161"/>
      <c r="DU9" s="161"/>
      <c r="DV9" s="161"/>
      <c r="DW9" s="161"/>
      <c r="DX9" s="161"/>
      <c r="DY9" s="161"/>
      <c r="DZ9" s="161"/>
      <c r="EA9" s="161"/>
      <c r="EB9" s="161"/>
      <c r="EC9" s="161"/>
      <c r="ED9" s="161"/>
      <c r="EE9" s="161"/>
      <c r="EF9" s="161"/>
      <c r="EG9" s="161"/>
      <c r="EH9" s="161"/>
      <c r="EI9" s="161"/>
      <c r="EJ9" s="161"/>
      <c r="EK9" s="161"/>
      <c r="EL9" s="161"/>
      <c r="EM9" s="161"/>
      <c r="EN9" s="161"/>
      <c r="EO9" s="161"/>
      <c r="EP9" s="161"/>
      <c r="EQ9" s="161"/>
      <c r="ER9" s="161"/>
      <c r="ES9" s="161"/>
      <c r="ET9" s="161"/>
      <c r="EU9" s="161"/>
      <c r="EV9" s="161"/>
      <c r="EW9" s="161"/>
      <c r="EX9" s="161"/>
      <c r="EY9" s="161"/>
      <c r="EZ9" s="161"/>
      <c r="FA9" s="161"/>
      <c r="FB9" s="161"/>
      <c r="FC9" s="161"/>
      <c r="FD9" s="161"/>
      <c r="FE9" s="161"/>
      <c r="FF9" s="161"/>
      <c r="FG9" s="161"/>
      <c r="FH9" s="161"/>
      <c r="FI9" s="161"/>
      <c r="FJ9" s="161"/>
      <c r="FK9" s="161"/>
      <c r="FL9" s="161"/>
      <c r="FM9" s="161"/>
      <c r="FN9" s="161"/>
      <c r="FO9" s="161"/>
      <c r="FP9" s="161"/>
      <c r="FQ9" s="161"/>
      <c r="FR9" s="161"/>
      <c r="FS9" s="161"/>
      <c r="FT9" s="161"/>
      <c r="FU9" s="161"/>
      <c r="FV9" s="161"/>
      <c r="FW9" s="161"/>
      <c r="FX9" s="161"/>
      <c r="FY9" s="161"/>
      <c r="FZ9" s="161"/>
      <c r="GA9" s="161"/>
      <c r="GB9" s="161"/>
      <c r="GC9" s="161"/>
      <c r="GD9" s="161"/>
      <c r="GE9" s="161"/>
      <c r="GF9" s="161"/>
      <c r="GG9" s="161"/>
      <c r="GH9" s="161"/>
      <c r="GI9" s="161"/>
      <c r="GJ9" s="161"/>
      <c r="GK9" s="161"/>
      <c r="GL9" s="161"/>
      <c r="GM9" s="161"/>
      <c r="GN9" s="161"/>
      <c r="GO9" s="161"/>
      <c r="GP9" s="161"/>
      <c r="GQ9" s="161"/>
      <c r="GR9" s="161"/>
      <c r="GS9" s="161"/>
      <c r="GT9" s="161"/>
      <c r="GU9" s="161"/>
      <c r="GV9" s="161"/>
      <c r="GW9" s="161"/>
      <c r="GX9" s="161"/>
      <c r="GY9" s="161"/>
      <c r="GZ9" s="161"/>
      <c r="HA9" s="161"/>
      <c r="HB9" s="161"/>
      <c r="HC9" s="161"/>
      <c r="HD9" s="161"/>
      <c r="HE9" s="161"/>
      <c r="HF9" s="161"/>
      <c r="HG9" s="161"/>
      <c r="HH9" s="161"/>
      <c r="HI9" s="161"/>
      <c r="HJ9" s="161"/>
      <c r="HK9" s="161"/>
      <c r="HL9" s="161"/>
      <c r="HM9" s="161"/>
      <c r="HN9" s="161"/>
      <c r="HO9" s="161"/>
      <c r="HP9" s="161"/>
      <c r="HQ9" s="161"/>
      <c r="HR9" s="161"/>
      <c r="HS9" s="161"/>
      <c r="HT9" s="161"/>
      <c r="HU9" s="161"/>
      <c r="HV9" s="161"/>
      <c r="HW9" s="161"/>
      <c r="HX9" s="161"/>
      <c r="HY9" s="161"/>
      <c r="HZ9" s="161"/>
      <c r="IA9" s="161"/>
      <c r="IB9" s="161"/>
      <c r="IC9" s="161"/>
      <c r="ID9" s="161"/>
      <c r="IE9" s="161"/>
      <c r="IF9" s="161"/>
      <c r="IG9" s="161"/>
      <c r="IH9" s="161"/>
      <c r="II9" s="161"/>
      <c r="IJ9" s="161"/>
      <c r="IK9" s="161"/>
      <c r="IL9" s="161"/>
      <c r="IM9" s="161"/>
      <c r="IN9" s="161"/>
      <c r="IO9" s="161"/>
      <c r="IP9" s="161"/>
      <c r="IQ9" s="161"/>
      <c r="IR9" s="161"/>
      <c r="IS9" s="161"/>
      <c r="IT9" s="161"/>
    </row>
    <row r="10" s="127" customFormat="true" ht="29.1" customHeight="true" spans="1:254">
      <c r="A10" s="164" t="s">
        <v>232</v>
      </c>
      <c r="B10" s="164"/>
      <c r="C10" s="164"/>
      <c r="D10" s="164"/>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c r="DE10" s="161"/>
      <c r="DF10" s="161"/>
      <c r="DG10" s="161"/>
      <c r="DH10" s="161"/>
      <c r="DI10" s="161"/>
      <c r="DJ10" s="161"/>
      <c r="DK10" s="161"/>
      <c r="DL10" s="161"/>
      <c r="DM10" s="161"/>
      <c r="DN10" s="161"/>
      <c r="DO10" s="161"/>
      <c r="DP10" s="161"/>
      <c r="DQ10" s="161"/>
      <c r="DR10" s="161"/>
      <c r="DS10" s="161"/>
      <c r="DT10" s="161"/>
      <c r="DU10" s="161"/>
      <c r="DV10" s="161"/>
      <c r="DW10" s="161"/>
      <c r="DX10" s="161"/>
      <c r="DY10" s="161"/>
      <c r="DZ10" s="161"/>
      <c r="EA10" s="161"/>
      <c r="EB10" s="161"/>
      <c r="EC10" s="161"/>
      <c r="ED10" s="161"/>
      <c r="EE10" s="161"/>
      <c r="EF10" s="161"/>
      <c r="EG10" s="161"/>
      <c r="EH10" s="161"/>
      <c r="EI10" s="161"/>
      <c r="EJ10" s="161"/>
      <c r="EK10" s="161"/>
      <c r="EL10" s="161"/>
      <c r="EM10" s="161"/>
      <c r="EN10" s="161"/>
      <c r="EO10" s="161"/>
      <c r="EP10" s="161"/>
      <c r="EQ10" s="161"/>
      <c r="ER10" s="161"/>
      <c r="ES10" s="161"/>
      <c r="ET10" s="161"/>
      <c r="EU10" s="161"/>
      <c r="EV10" s="161"/>
      <c r="EW10" s="161"/>
      <c r="EX10" s="161"/>
      <c r="EY10" s="161"/>
      <c r="EZ10" s="161"/>
      <c r="FA10" s="161"/>
      <c r="FB10" s="161"/>
      <c r="FC10" s="161"/>
      <c r="FD10" s="161"/>
      <c r="FE10" s="161"/>
      <c r="FF10" s="161"/>
      <c r="FG10" s="161"/>
      <c r="FH10" s="161"/>
      <c r="FI10" s="161"/>
      <c r="FJ10" s="161"/>
      <c r="FK10" s="161"/>
      <c r="FL10" s="161"/>
      <c r="FM10" s="161"/>
      <c r="FN10" s="161"/>
      <c r="FO10" s="161"/>
      <c r="FP10" s="161"/>
      <c r="FQ10" s="161"/>
      <c r="FR10" s="161"/>
      <c r="FS10" s="161"/>
      <c r="FT10" s="161"/>
      <c r="FU10" s="161"/>
      <c r="FV10" s="161"/>
      <c r="FW10" s="161"/>
      <c r="FX10" s="161"/>
      <c r="FY10" s="161"/>
      <c r="FZ10" s="161"/>
      <c r="GA10" s="161"/>
      <c r="GB10" s="161"/>
      <c r="GC10" s="161"/>
      <c r="GD10" s="161"/>
      <c r="GE10" s="161"/>
      <c r="GF10" s="161"/>
      <c r="GG10" s="161"/>
      <c r="GH10" s="161"/>
      <c r="GI10" s="161"/>
      <c r="GJ10" s="161"/>
      <c r="GK10" s="161"/>
      <c r="GL10" s="161"/>
      <c r="GM10" s="161"/>
      <c r="GN10" s="161"/>
      <c r="GO10" s="161"/>
      <c r="GP10" s="161"/>
      <c r="GQ10" s="161"/>
      <c r="GR10" s="161"/>
      <c r="GS10" s="161"/>
      <c r="GT10" s="161"/>
      <c r="GU10" s="161"/>
      <c r="GV10" s="161"/>
      <c r="GW10" s="161"/>
      <c r="GX10" s="161"/>
      <c r="GY10" s="161"/>
      <c r="GZ10" s="161"/>
      <c r="HA10" s="161"/>
      <c r="HB10" s="161"/>
      <c r="HC10" s="161"/>
      <c r="HD10" s="161"/>
      <c r="HE10" s="161"/>
      <c r="HF10" s="161"/>
      <c r="HG10" s="161"/>
      <c r="HH10" s="161"/>
      <c r="HI10" s="161"/>
      <c r="HJ10" s="161"/>
      <c r="HK10" s="161"/>
      <c r="HL10" s="161"/>
      <c r="HM10" s="161"/>
      <c r="HN10" s="161"/>
      <c r="HO10" s="161"/>
      <c r="HP10" s="161"/>
      <c r="HQ10" s="161"/>
      <c r="HR10" s="161"/>
      <c r="HS10" s="161"/>
      <c r="HT10" s="161"/>
      <c r="HU10" s="161"/>
      <c r="HV10" s="161"/>
      <c r="HW10" s="161"/>
      <c r="HX10" s="161"/>
      <c r="HY10" s="161"/>
      <c r="HZ10" s="161"/>
      <c r="IA10" s="161"/>
      <c r="IB10" s="161"/>
      <c r="IC10" s="161"/>
      <c r="ID10" s="161"/>
      <c r="IE10" s="161"/>
      <c r="IF10" s="161"/>
      <c r="IG10" s="161"/>
      <c r="IH10" s="161"/>
      <c r="II10" s="161"/>
      <c r="IJ10" s="161"/>
      <c r="IK10" s="161"/>
      <c r="IL10" s="161"/>
      <c r="IM10" s="161"/>
      <c r="IN10" s="161"/>
      <c r="IO10" s="161"/>
      <c r="IP10" s="161"/>
      <c r="IQ10" s="161"/>
      <c r="IR10" s="161"/>
      <c r="IS10" s="161"/>
      <c r="IT10" s="161"/>
    </row>
    <row r="11" s="127" customFormat="true" ht="29.1" customHeight="true" spans="1:254">
      <c r="A11" s="164"/>
      <c r="B11" s="164"/>
      <c r="C11" s="164"/>
      <c r="D11" s="164"/>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1"/>
      <c r="DC11" s="161"/>
      <c r="DD11" s="161"/>
      <c r="DE11" s="161"/>
      <c r="DF11" s="161"/>
      <c r="DG11" s="161"/>
      <c r="DH11" s="161"/>
      <c r="DI11" s="161"/>
      <c r="DJ11" s="161"/>
      <c r="DK11" s="161"/>
      <c r="DL11" s="161"/>
      <c r="DM11" s="161"/>
      <c r="DN11" s="161"/>
      <c r="DO11" s="161"/>
      <c r="DP11" s="161"/>
      <c r="DQ11" s="161"/>
      <c r="DR11" s="161"/>
      <c r="DS11" s="161"/>
      <c r="DT11" s="161"/>
      <c r="DU11" s="161"/>
      <c r="DV11" s="161"/>
      <c r="DW11" s="161"/>
      <c r="DX11" s="161"/>
      <c r="DY11" s="161"/>
      <c r="DZ11" s="161"/>
      <c r="EA11" s="161"/>
      <c r="EB11" s="161"/>
      <c r="EC11" s="161"/>
      <c r="ED11" s="161"/>
      <c r="EE11" s="161"/>
      <c r="EF11" s="161"/>
      <c r="EG11" s="161"/>
      <c r="EH11" s="161"/>
      <c r="EI11" s="161"/>
      <c r="EJ11" s="161"/>
      <c r="EK11" s="161"/>
      <c r="EL11" s="161"/>
      <c r="EM11" s="161"/>
      <c r="EN11" s="161"/>
      <c r="EO11" s="161"/>
      <c r="EP11" s="161"/>
      <c r="EQ11" s="161"/>
      <c r="ER11" s="161"/>
      <c r="ES11" s="161"/>
      <c r="ET11" s="161"/>
      <c r="EU11" s="161"/>
      <c r="EV11" s="161"/>
      <c r="EW11" s="161"/>
      <c r="EX11" s="161"/>
      <c r="EY11" s="161"/>
      <c r="EZ11" s="161"/>
      <c r="FA11" s="161"/>
      <c r="FB11" s="161"/>
      <c r="FC11" s="161"/>
      <c r="FD11" s="161"/>
      <c r="FE11" s="161"/>
      <c r="FF11" s="161"/>
      <c r="FG11" s="161"/>
      <c r="FH11" s="161"/>
      <c r="FI11" s="161"/>
      <c r="FJ11" s="161"/>
      <c r="FK11" s="161"/>
      <c r="FL11" s="161"/>
      <c r="FM11" s="161"/>
      <c r="FN11" s="161"/>
      <c r="FO11" s="161"/>
      <c r="FP11" s="161"/>
      <c r="FQ11" s="161"/>
      <c r="FR11" s="161"/>
      <c r="FS11" s="161"/>
      <c r="FT11" s="161"/>
      <c r="FU11" s="161"/>
      <c r="FV11" s="161"/>
      <c r="FW11" s="161"/>
      <c r="FX11" s="161"/>
      <c r="FY11" s="161"/>
      <c r="FZ11" s="161"/>
      <c r="GA11" s="161"/>
      <c r="GB11" s="161"/>
      <c r="GC11" s="161"/>
      <c r="GD11" s="161"/>
      <c r="GE11" s="161"/>
      <c r="GF11" s="161"/>
      <c r="GG11" s="161"/>
      <c r="GH11" s="161"/>
      <c r="GI11" s="161"/>
      <c r="GJ11" s="161"/>
      <c r="GK11" s="161"/>
      <c r="GL11" s="161"/>
      <c r="GM11" s="161"/>
      <c r="GN11" s="161"/>
      <c r="GO11" s="161"/>
      <c r="GP11" s="161"/>
      <c r="GQ11" s="161"/>
      <c r="GR11" s="161"/>
      <c r="GS11" s="161"/>
      <c r="GT11" s="161"/>
      <c r="GU11" s="161"/>
      <c r="GV11" s="161"/>
      <c r="GW11" s="161"/>
      <c r="GX11" s="161"/>
      <c r="GY11" s="161"/>
      <c r="GZ11" s="161"/>
      <c r="HA11" s="161"/>
      <c r="HB11" s="161"/>
      <c r="HC11" s="161"/>
      <c r="HD11" s="161"/>
      <c r="HE11" s="161"/>
      <c r="HF11" s="161"/>
      <c r="HG11" s="161"/>
      <c r="HH11" s="161"/>
      <c r="HI11" s="161"/>
      <c r="HJ11" s="161"/>
      <c r="HK11" s="161"/>
      <c r="HL11" s="161"/>
      <c r="HM11" s="161"/>
      <c r="HN11" s="161"/>
      <c r="HO11" s="161"/>
      <c r="HP11" s="161"/>
      <c r="HQ11" s="161"/>
      <c r="HR11" s="161"/>
      <c r="HS11" s="161"/>
      <c r="HT11" s="161"/>
      <c r="HU11" s="161"/>
      <c r="HV11" s="161"/>
      <c r="HW11" s="161"/>
      <c r="HX11" s="161"/>
      <c r="HY11" s="161"/>
      <c r="HZ11" s="161"/>
      <c r="IA11" s="161"/>
      <c r="IB11" s="161"/>
      <c r="IC11" s="161"/>
      <c r="ID11" s="161"/>
      <c r="IE11" s="161"/>
      <c r="IF11" s="161"/>
      <c r="IG11" s="161"/>
      <c r="IH11" s="161"/>
      <c r="II11" s="161"/>
      <c r="IJ11" s="161"/>
      <c r="IK11" s="161"/>
      <c r="IL11" s="161"/>
      <c r="IM11" s="161"/>
      <c r="IN11" s="161"/>
      <c r="IO11" s="161"/>
      <c r="IP11" s="161"/>
      <c r="IQ11" s="161"/>
      <c r="IR11" s="161"/>
      <c r="IS11" s="161"/>
      <c r="IT11" s="161"/>
    </row>
    <row r="12" s="127" customFormat="true" ht="29.1" customHeight="true" spans="1:254">
      <c r="A12" s="164"/>
      <c r="B12" s="164"/>
      <c r="C12" s="164"/>
      <c r="D12" s="164"/>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1"/>
      <c r="DE12" s="161"/>
      <c r="DF12" s="161"/>
      <c r="DG12" s="161"/>
      <c r="DH12" s="161"/>
      <c r="DI12" s="161"/>
      <c r="DJ12" s="161"/>
      <c r="DK12" s="161"/>
      <c r="DL12" s="161"/>
      <c r="DM12" s="161"/>
      <c r="DN12" s="161"/>
      <c r="DO12" s="161"/>
      <c r="DP12" s="161"/>
      <c r="DQ12" s="161"/>
      <c r="DR12" s="161"/>
      <c r="DS12" s="161"/>
      <c r="DT12" s="161"/>
      <c r="DU12" s="161"/>
      <c r="DV12" s="161"/>
      <c r="DW12" s="161"/>
      <c r="DX12" s="161"/>
      <c r="DY12" s="161"/>
      <c r="DZ12" s="161"/>
      <c r="EA12" s="161"/>
      <c r="EB12" s="161"/>
      <c r="EC12" s="161"/>
      <c r="ED12" s="161"/>
      <c r="EE12" s="161"/>
      <c r="EF12" s="161"/>
      <c r="EG12" s="161"/>
      <c r="EH12" s="161"/>
      <c r="EI12" s="161"/>
      <c r="EJ12" s="161"/>
      <c r="EK12" s="161"/>
      <c r="EL12" s="161"/>
      <c r="EM12" s="161"/>
      <c r="EN12" s="161"/>
      <c r="EO12" s="161"/>
      <c r="EP12" s="161"/>
      <c r="EQ12" s="161"/>
      <c r="ER12" s="161"/>
      <c r="ES12" s="161"/>
      <c r="ET12" s="161"/>
      <c r="EU12" s="161"/>
      <c r="EV12" s="161"/>
      <c r="EW12" s="161"/>
      <c r="EX12" s="161"/>
      <c r="EY12" s="161"/>
      <c r="EZ12" s="161"/>
      <c r="FA12" s="161"/>
      <c r="FB12" s="161"/>
      <c r="FC12" s="161"/>
      <c r="FD12" s="161"/>
      <c r="FE12" s="161"/>
      <c r="FF12" s="161"/>
      <c r="FG12" s="161"/>
      <c r="FH12" s="161"/>
      <c r="FI12" s="161"/>
      <c r="FJ12" s="161"/>
      <c r="FK12" s="161"/>
      <c r="FL12" s="161"/>
      <c r="FM12" s="161"/>
      <c r="FN12" s="161"/>
      <c r="FO12" s="161"/>
      <c r="FP12" s="161"/>
      <c r="FQ12" s="161"/>
      <c r="FR12" s="161"/>
      <c r="FS12" s="161"/>
      <c r="FT12" s="161"/>
      <c r="FU12" s="161"/>
      <c r="FV12" s="161"/>
      <c r="FW12" s="161"/>
      <c r="FX12" s="161"/>
      <c r="FY12" s="161"/>
      <c r="FZ12" s="161"/>
      <c r="GA12" s="161"/>
      <c r="GB12" s="161"/>
      <c r="GC12" s="161"/>
      <c r="GD12" s="161"/>
      <c r="GE12" s="161"/>
      <c r="GF12" s="161"/>
      <c r="GG12" s="161"/>
      <c r="GH12" s="161"/>
      <c r="GI12" s="161"/>
      <c r="GJ12" s="161"/>
      <c r="GK12" s="161"/>
      <c r="GL12" s="161"/>
      <c r="GM12" s="161"/>
      <c r="GN12" s="161"/>
      <c r="GO12" s="161"/>
      <c r="GP12" s="161"/>
      <c r="GQ12" s="161"/>
      <c r="GR12" s="161"/>
      <c r="GS12" s="161"/>
      <c r="GT12" s="161"/>
      <c r="GU12" s="161"/>
      <c r="GV12" s="161"/>
      <c r="GW12" s="161"/>
      <c r="GX12" s="161"/>
      <c r="GY12" s="161"/>
      <c r="GZ12" s="161"/>
      <c r="HA12" s="161"/>
      <c r="HB12" s="161"/>
      <c r="HC12" s="161"/>
      <c r="HD12" s="161"/>
      <c r="HE12" s="161"/>
      <c r="HF12" s="161"/>
      <c r="HG12" s="161"/>
      <c r="HH12" s="161"/>
      <c r="HI12" s="161"/>
      <c r="HJ12" s="161"/>
      <c r="HK12" s="161"/>
      <c r="HL12" s="161"/>
      <c r="HM12" s="161"/>
      <c r="HN12" s="161"/>
      <c r="HO12" s="161"/>
      <c r="HP12" s="161"/>
      <c r="HQ12" s="161"/>
      <c r="HR12" s="161"/>
      <c r="HS12" s="161"/>
      <c r="HT12" s="161"/>
      <c r="HU12" s="161"/>
      <c r="HV12" s="161"/>
      <c r="HW12" s="161"/>
      <c r="HX12" s="161"/>
      <c r="HY12" s="161"/>
      <c r="HZ12" s="161"/>
      <c r="IA12" s="161"/>
      <c r="IB12" s="161"/>
      <c r="IC12" s="161"/>
      <c r="ID12" s="161"/>
      <c r="IE12" s="161"/>
      <c r="IF12" s="161"/>
      <c r="IG12" s="161"/>
      <c r="IH12" s="161"/>
      <c r="II12" s="161"/>
      <c r="IJ12" s="161"/>
      <c r="IK12" s="161"/>
      <c r="IL12" s="161"/>
      <c r="IM12" s="161"/>
      <c r="IN12" s="161"/>
      <c r="IO12" s="161"/>
      <c r="IP12" s="161"/>
      <c r="IQ12" s="161"/>
      <c r="IR12" s="161"/>
      <c r="IS12" s="161"/>
      <c r="IT12" s="161"/>
    </row>
    <row r="13" s="127" customFormat="true" ht="29.1" customHeight="true" spans="1:254">
      <c r="A13" s="164"/>
      <c r="B13" s="164"/>
      <c r="C13" s="164"/>
      <c r="D13" s="164"/>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1"/>
      <c r="CG13" s="161"/>
      <c r="CH13" s="161"/>
      <c r="CI13" s="161"/>
      <c r="CJ13" s="161"/>
      <c r="CK13" s="161"/>
      <c r="CL13" s="161"/>
      <c r="CM13" s="161"/>
      <c r="CN13" s="161"/>
      <c r="CO13" s="161"/>
      <c r="CP13" s="161"/>
      <c r="CQ13" s="161"/>
      <c r="CR13" s="161"/>
      <c r="CS13" s="161"/>
      <c r="CT13" s="161"/>
      <c r="CU13" s="161"/>
      <c r="CV13" s="161"/>
      <c r="CW13" s="161"/>
      <c r="CX13" s="161"/>
      <c r="CY13" s="161"/>
      <c r="CZ13" s="161"/>
      <c r="DA13" s="161"/>
      <c r="DB13" s="161"/>
      <c r="DC13" s="161"/>
      <c r="DD13" s="161"/>
      <c r="DE13" s="161"/>
      <c r="DF13" s="161"/>
      <c r="DG13" s="161"/>
      <c r="DH13" s="161"/>
      <c r="DI13" s="161"/>
      <c r="DJ13" s="161"/>
      <c r="DK13" s="161"/>
      <c r="DL13" s="161"/>
      <c r="DM13" s="161"/>
      <c r="DN13" s="161"/>
      <c r="DO13" s="161"/>
      <c r="DP13" s="161"/>
      <c r="DQ13" s="161"/>
      <c r="DR13" s="161"/>
      <c r="DS13" s="161"/>
      <c r="DT13" s="161"/>
      <c r="DU13" s="161"/>
      <c r="DV13" s="161"/>
      <c r="DW13" s="161"/>
      <c r="DX13" s="161"/>
      <c r="DY13" s="161"/>
      <c r="DZ13" s="161"/>
      <c r="EA13" s="161"/>
      <c r="EB13" s="161"/>
      <c r="EC13" s="161"/>
      <c r="ED13" s="161"/>
      <c r="EE13" s="161"/>
      <c r="EF13" s="161"/>
      <c r="EG13" s="161"/>
      <c r="EH13" s="161"/>
      <c r="EI13" s="161"/>
      <c r="EJ13" s="161"/>
      <c r="EK13" s="161"/>
      <c r="EL13" s="161"/>
      <c r="EM13" s="161"/>
      <c r="EN13" s="161"/>
      <c r="EO13" s="161"/>
      <c r="EP13" s="161"/>
      <c r="EQ13" s="161"/>
      <c r="ER13" s="161"/>
      <c r="ES13" s="161"/>
      <c r="ET13" s="161"/>
      <c r="EU13" s="161"/>
      <c r="EV13" s="161"/>
      <c r="EW13" s="161"/>
      <c r="EX13" s="161"/>
      <c r="EY13" s="161"/>
      <c r="EZ13" s="161"/>
      <c r="FA13" s="161"/>
      <c r="FB13" s="161"/>
      <c r="FC13" s="161"/>
      <c r="FD13" s="161"/>
      <c r="FE13" s="161"/>
      <c r="FF13" s="161"/>
      <c r="FG13" s="161"/>
      <c r="FH13" s="161"/>
      <c r="FI13" s="161"/>
      <c r="FJ13" s="161"/>
      <c r="FK13" s="161"/>
      <c r="FL13" s="161"/>
      <c r="FM13" s="161"/>
      <c r="FN13" s="161"/>
      <c r="FO13" s="161"/>
      <c r="FP13" s="161"/>
      <c r="FQ13" s="161"/>
      <c r="FR13" s="161"/>
      <c r="FS13" s="161"/>
      <c r="FT13" s="161"/>
      <c r="FU13" s="161"/>
      <c r="FV13" s="161"/>
      <c r="FW13" s="161"/>
      <c r="FX13" s="161"/>
      <c r="FY13" s="161"/>
      <c r="FZ13" s="161"/>
      <c r="GA13" s="161"/>
      <c r="GB13" s="161"/>
      <c r="GC13" s="161"/>
      <c r="GD13" s="161"/>
      <c r="GE13" s="161"/>
      <c r="GF13" s="161"/>
      <c r="GG13" s="161"/>
      <c r="GH13" s="161"/>
      <c r="GI13" s="161"/>
      <c r="GJ13" s="161"/>
      <c r="GK13" s="161"/>
      <c r="GL13" s="161"/>
      <c r="GM13" s="161"/>
      <c r="GN13" s="161"/>
      <c r="GO13" s="161"/>
      <c r="GP13" s="161"/>
      <c r="GQ13" s="161"/>
      <c r="GR13" s="161"/>
      <c r="GS13" s="161"/>
      <c r="GT13" s="161"/>
      <c r="GU13" s="161"/>
      <c r="GV13" s="161"/>
      <c r="GW13" s="161"/>
      <c r="GX13" s="161"/>
      <c r="GY13" s="161"/>
      <c r="GZ13" s="161"/>
      <c r="HA13" s="161"/>
      <c r="HB13" s="161"/>
      <c r="HC13" s="161"/>
      <c r="HD13" s="161"/>
      <c r="HE13" s="161"/>
      <c r="HF13" s="161"/>
      <c r="HG13" s="161"/>
      <c r="HH13" s="161"/>
      <c r="HI13" s="161"/>
      <c r="HJ13" s="161"/>
      <c r="HK13" s="161"/>
      <c r="HL13" s="161"/>
      <c r="HM13" s="161"/>
      <c r="HN13" s="161"/>
      <c r="HO13" s="161"/>
      <c r="HP13" s="161"/>
      <c r="HQ13" s="161"/>
      <c r="HR13" s="161"/>
      <c r="HS13" s="161"/>
      <c r="HT13" s="161"/>
      <c r="HU13" s="161"/>
      <c r="HV13" s="161"/>
      <c r="HW13" s="161"/>
      <c r="HX13" s="161"/>
      <c r="HY13" s="161"/>
      <c r="HZ13" s="161"/>
      <c r="IA13" s="161"/>
      <c r="IB13" s="161"/>
      <c r="IC13" s="161"/>
      <c r="ID13" s="161"/>
      <c r="IE13" s="161"/>
      <c r="IF13" s="161"/>
      <c r="IG13" s="161"/>
      <c r="IH13" s="161"/>
      <c r="II13" s="161"/>
      <c r="IJ13" s="161"/>
      <c r="IK13" s="161"/>
      <c r="IL13" s="161"/>
      <c r="IM13" s="161"/>
      <c r="IN13" s="161"/>
      <c r="IO13" s="161"/>
      <c r="IP13" s="161"/>
      <c r="IQ13" s="161"/>
      <c r="IR13" s="161"/>
      <c r="IS13" s="161"/>
      <c r="IT13" s="161"/>
    </row>
    <row r="14" s="127" customFormat="true" ht="29.1" customHeight="true" spans="1:254">
      <c r="A14" s="164"/>
      <c r="B14" s="164"/>
      <c r="C14" s="164"/>
      <c r="D14" s="164"/>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c r="DE14" s="161"/>
      <c r="DF14" s="161"/>
      <c r="DG14" s="161"/>
      <c r="DH14" s="161"/>
      <c r="DI14" s="161"/>
      <c r="DJ14" s="161"/>
      <c r="DK14" s="161"/>
      <c r="DL14" s="161"/>
      <c r="DM14" s="161"/>
      <c r="DN14" s="161"/>
      <c r="DO14" s="161"/>
      <c r="DP14" s="161"/>
      <c r="DQ14" s="161"/>
      <c r="DR14" s="161"/>
      <c r="DS14" s="161"/>
      <c r="DT14" s="161"/>
      <c r="DU14" s="161"/>
      <c r="DV14" s="161"/>
      <c r="DW14" s="161"/>
      <c r="DX14" s="161"/>
      <c r="DY14" s="161"/>
      <c r="DZ14" s="161"/>
      <c r="EA14" s="161"/>
      <c r="EB14" s="161"/>
      <c r="EC14" s="161"/>
      <c r="ED14" s="161"/>
      <c r="EE14" s="161"/>
      <c r="EF14" s="161"/>
      <c r="EG14" s="161"/>
      <c r="EH14" s="161"/>
      <c r="EI14" s="161"/>
      <c r="EJ14" s="161"/>
      <c r="EK14" s="161"/>
      <c r="EL14" s="161"/>
      <c r="EM14" s="161"/>
      <c r="EN14" s="161"/>
      <c r="EO14" s="161"/>
      <c r="EP14" s="161"/>
      <c r="EQ14" s="161"/>
      <c r="ER14" s="161"/>
      <c r="ES14" s="161"/>
      <c r="ET14" s="161"/>
      <c r="EU14" s="161"/>
      <c r="EV14" s="161"/>
      <c r="EW14" s="161"/>
      <c r="EX14" s="161"/>
      <c r="EY14" s="161"/>
      <c r="EZ14" s="161"/>
      <c r="FA14" s="161"/>
      <c r="FB14" s="161"/>
      <c r="FC14" s="161"/>
      <c r="FD14" s="161"/>
      <c r="FE14" s="161"/>
      <c r="FF14" s="161"/>
      <c r="FG14" s="161"/>
      <c r="FH14" s="161"/>
      <c r="FI14" s="161"/>
      <c r="FJ14" s="161"/>
      <c r="FK14" s="161"/>
      <c r="FL14" s="161"/>
      <c r="FM14" s="161"/>
      <c r="FN14" s="161"/>
      <c r="FO14" s="161"/>
      <c r="FP14" s="161"/>
      <c r="FQ14" s="161"/>
      <c r="FR14" s="161"/>
      <c r="FS14" s="161"/>
      <c r="FT14" s="161"/>
      <c r="FU14" s="161"/>
      <c r="FV14" s="161"/>
      <c r="FW14" s="161"/>
      <c r="FX14" s="161"/>
      <c r="FY14" s="161"/>
      <c r="FZ14" s="161"/>
      <c r="GA14" s="161"/>
      <c r="GB14" s="161"/>
      <c r="GC14" s="161"/>
      <c r="GD14" s="161"/>
      <c r="GE14" s="161"/>
      <c r="GF14" s="161"/>
      <c r="GG14" s="161"/>
      <c r="GH14" s="161"/>
      <c r="GI14" s="161"/>
      <c r="GJ14" s="161"/>
      <c r="GK14" s="161"/>
      <c r="GL14" s="161"/>
      <c r="GM14" s="161"/>
      <c r="GN14" s="161"/>
      <c r="GO14" s="161"/>
      <c r="GP14" s="161"/>
      <c r="GQ14" s="161"/>
      <c r="GR14" s="161"/>
      <c r="GS14" s="161"/>
      <c r="GT14" s="161"/>
      <c r="GU14" s="161"/>
      <c r="GV14" s="161"/>
      <c r="GW14" s="161"/>
      <c r="GX14" s="161"/>
      <c r="GY14" s="161"/>
      <c r="GZ14" s="161"/>
      <c r="HA14" s="161"/>
      <c r="HB14" s="161"/>
      <c r="HC14" s="161"/>
      <c r="HD14" s="161"/>
      <c r="HE14" s="161"/>
      <c r="HF14" s="161"/>
      <c r="HG14" s="161"/>
      <c r="HH14" s="161"/>
      <c r="HI14" s="161"/>
      <c r="HJ14" s="161"/>
      <c r="HK14" s="161"/>
      <c r="HL14" s="161"/>
      <c r="HM14" s="161"/>
      <c r="HN14" s="161"/>
      <c r="HO14" s="161"/>
      <c r="HP14" s="161"/>
      <c r="HQ14" s="161"/>
      <c r="HR14" s="161"/>
      <c r="HS14" s="161"/>
      <c r="HT14" s="161"/>
      <c r="HU14" s="161"/>
      <c r="HV14" s="161"/>
      <c r="HW14" s="161"/>
      <c r="HX14" s="161"/>
      <c r="HY14" s="161"/>
      <c r="HZ14" s="161"/>
      <c r="IA14" s="161"/>
      <c r="IB14" s="161"/>
      <c r="IC14" s="161"/>
      <c r="ID14" s="161"/>
      <c r="IE14" s="161"/>
      <c r="IF14" s="161"/>
      <c r="IG14" s="161"/>
      <c r="IH14" s="161"/>
      <c r="II14" s="161"/>
      <c r="IJ14" s="161"/>
      <c r="IK14" s="161"/>
      <c r="IL14" s="161"/>
      <c r="IM14" s="161"/>
      <c r="IN14" s="161"/>
      <c r="IO14" s="161"/>
      <c r="IP14" s="161"/>
      <c r="IQ14" s="161"/>
      <c r="IR14" s="161"/>
      <c r="IS14" s="161"/>
      <c r="IT14" s="161"/>
    </row>
    <row r="15" s="127" customFormat="true" ht="29.1" customHeight="true" spans="1:254">
      <c r="A15" s="164"/>
      <c r="B15" s="164"/>
      <c r="C15" s="164"/>
      <c r="D15" s="164"/>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c r="DT15" s="161"/>
      <c r="DU15" s="161"/>
      <c r="DV15" s="161"/>
      <c r="DW15" s="161"/>
      <c r="DX15" s="161"/>
      <c r="DY15" s="161"/>
      <c r="DZ15" s="161"/>
      <c r="EA15" s="161"/>
      <c r="EB15" s="161"/>
      <c r="EC15" s="161"/>
      <c r="ED15" s="161"/>
      <c r="EE15" s="161"/>
      <c r="EF15" s="161"/>
      <c r="EG15" s="161"/>
      <c r="EH15" s="161"/>
      <c r="EI15" s="161"/>
      <c r="EJ15" s="161"/>
      <c r="EK15" s="161"/>
      <c r="EL15" s="161"/>
      <c r="EM15" s="161"/>
      <c r="EN15" s="161"/>
      <c r="EO15" s="161"/>
      <c r="EP15" s="161"/>
      <c r="EQ15" s="161"/>
      <c r="ER15" s="161"/>
      <c r="ES15" s="161"/>
      <c r="ET15" s="161"/>
      <c r="EU15" s="161"/>
      <c r="EV15" s="161"/>
      <c r="EW15" s="161"/>
      <c r="EX15" s="161"/>
      <c r="EY15" s="161"/>
      <c r="EZ15" s="161"/>
      <c r="FA15" s="161"/>
      <c r="FB15" s="161"/>
      <c r="FC15" s="161"/>
      <c r="FD15" s="161"/>
      <c r="FE15" s="161"/>
      <c r="FF15" s="161"/>
      <c r="FG15" s="161"/>
      <c r="FH15" s="161"/>
      <c r="FI15" s="161"/>
      <c r="FJ15" s="161"/>
      <c r="FK15" s="161"/>
      <c r="FL15" s="161"/>
      <c r="FM15" s="161"/>
      <c r="FN15" s="161"/>
      <c r="FO15" s="161"/>
      <c r="FP15" s="161"/>
      <c r="FQ15" s="161"/>
      <c r="FR15" s="161"/>
      <c r="FS15" s="161"/>
      <c r="FT15" s="161"/>
      <c r="FU15" s="161"/>
      <c r="FV15" s="161"/>
      <c r="FW15" s="161"/>
      <c r="FX15" s="161"/>
      <c r="FY15" s="161"/>
      <c r="FZ15" s="161"/>
      <c r="GA15" s="161"/>
      <c r="GB15" s="161"/>
      <c r="GC15" s="161"/>
      <c r="GD15" s="161"/>
      <c r="GE15" s="161"/>
      <c r="GF15" s="161"/>
      <c r="GG15" s="161"/>
      <c r="GH15" s="161"/>
      <c r="GI15" s="161"/>
      <c r="GJ15" s="161"/>
      <c r="GK15" s="161"/>
      <c r="GL15" s="161"/>
      <c r="GM15" s="161"/>
      <c r="GN15" s="161"/>
      <c r="GO15" s="161"/>
      <c r="GP15" s="161"/>
      <c r="GQ15" s="161"/>
      <c r="GR15" s="161"/>
      <c r="GS15" s="161"/>
      <c r="GT15" s="161"/>
      <c r="GU15" s="161"/>
      <c r="GV15" s="161"/>
      <c r="GW15" s="161"/>
      <c r="GX15" s="161"/>
      <c r="GY15" s="161"/>
      <c r="GZ15" s="161"/>
      <c r="HA15" s="161"/>
      <c r="HB15" s="161"/>
      <c r="HC15" s="161"/>
      <c r="HD15" s="161"/>
      <c r="HE15" s="161"/>
      <c r="HF15" s="161"/>
      <c r="HG15" s="161"/>
      <c r="HH15" s="161"/>
      <c r="HI15" s="161"/>
      <c r="HJ15" s="161"/>
      <c r="HK15" s="161"/>
      <c r="HL15" s="161"/>
      <c r="HM15" s="161"/>
      <c r="HN15" s="161"/>
      <c r="HO15" s="161"/>
      <c r="HP15" s="161"/>
      <c r="HQ15" s="161"/>
      <c r="HR15" s="161"/>
      <c r="HS15" s="161"/>
      <c r="HT15" s="161"/>
      <c r="HU15" s="161"/>
      <c r="HV15" s="161"/>
      <c r="HW15" s="161"/>
      <c r="HX15" s="161"/>
      <c r="HY15" s="161"/>
      <c r="HZ15" s="161"/>
      <c r="IA15" s="161"/>
      <c r="IB15" s="161"/>
      <c r="IC15" s="161"/>
      <c r="ID15" s="161"/>
      <c r="IE15" s="161"/>
      <c r="IF15" s="161"/>
      <c r="IG15" s="161"/>
      <c r="IH15" s="161"/>
      <c r="II15" s="161"/>
      <c r="IJ15" s="161"/>
      <c r="IK15" s="161"/>
      <c r="IL15" s="161"/>
      <c r="IM15" s="161"/>
      <c r="IN15" s="161"/>
      <c r="IO15" s="161"/>
      <c r="IP15" s="161"/>
      <c r="IQ15" s="161"/>
      <c r="IR15" s="161"/>
      <c r="IS15" s="161"/>
      <c r="IT15" s="161"/>
    </row>
    <row r="16" s="127" customFormat="true" ht="29.1" customHeight="true" spans="1:254">
      <c r="A16" s="164"/>
      <c r="B16" s="164"/>
      <c r="C16" s="164"/>
      <c r="D16" s="164"/>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c r="DS16" s="161"/>
      <c r="DT16" s="161"/>
      <c r="DU16" s="161"/>
      <c r="DV16" s="161"/>
      <c r="DW16" s="161"/>
      <c r="DX16" s="161"/>
      <c r="DY16" s="161"/>
      <c r="DZ16" s="161"/>
      <c r="EA16" s="161"/>
      <c r="EB16" s="161"/>
      <c r="EC16" s="161"/>
      <c r="ED16" s="161"/>
      <c r="EE16" s="161"/>
      <c r="EF16" s="161"/>
      <c r="EG16" s="161"/>
      <c r="EH16" s="161"/>
      <c r="EI16" s="161"/>
      <c r="EJ16" s="161"/>
      <c r="EK16" s="161"/>
      <c r="EL16" s="161"/>
      <c r="EM16" s="161"/>
      <c r="EN16" s="161"/>
      <c r="EO16" s="161"/>
      <c r="EP16" s="161"/>
      <c r="EQ16" s="161"/>
      <c r="ER16" s="161"/>
      <c r="ES16" s="161"/>
      <c r="ET16" s="161"/>
      <c r="EU16" s="161"/>
      <c r="EV16" s="161"/>
      <c r="EW16" s="161"/>
      <c r="EX16" s="161"/>
      <c r="EY16" s="161"/>
      <c r="EZ16" s="161"/>
      <c r="FA16" s="161"/>
      <c r="FB16" s="161"/>
      <c r="FC16" s="161"/>
      <c r="FD16" s="161"/>
      <c r="FE16" s="161"/>
      <c r="FF16" s="161"/>
      <c r="FG16" s="161"/>
      <c r="FH16" s="161"/>
      <c r="FI16" s="161"/>
      <c r="FJ16" s="161"/>
      <c r="FK16" s="161"/>
      <c r="FL16" s="161"/>
      <c r="FM16" s="161"/>
      <c r="FN16" s="161"/>
      <c r="FO16" s="161"/>
      <c r="FP16" s="161"/>
      <c r="FQ16" s="161"/>
      <c r="FR16" s="161"/>
      <c r="FS16" s="161"/>
      <c r="FT16" s="161"/>
      <c r="FU16" s="161"/>
      <c r="FV16" s="161"/>
      <c r="FW16" s="161"/>
      <c r="FX16" s="161"/>
      <c r="FY16" s="161"/>
      <c r="FZ16" s="161"/>
      <c r="GA16" s="161"/>
      <c r="GB16" s="161"/>
      <c r="GC16" s="161"/>
      <c r="GD16" s="161"/>
      <c r="GE16" s="161"/>
      <c r="GF16" s="161"/>
      <c r="GG16" s="161"/>
      <c r="GH16" s="161"/>
      <c r="GI16" s="161"/>
      <c r="GJ16" s="161"/>
      <c r="GK16" s="161"/>
      <c r="GL16" s="161"/>
      <c r="GM16" s="161"/>
      <c r="GN16" s="161"/>
      <c r="GO16" s="161"/>
      <c r="GP16" s="161"/>
      <c r="GQ16" s="161"/>
      <c r="GR16" s="161"/>
      <c r="GS16" s="161"/>
      <c r="GT16" s="161"/>
      <c r="GU16" s="161"/>
      <c r="GV16" s="161"/>
      <c r="GW16" s="161"/>
      <c r="GX16" s="161"/>
      <c r="GY16" s="161"/>
      <c r="GZ16" s="161"/>
      <c r="HA16" s="161"/>
      <c r="HB16" s="161"/>
      <c r="HC16" s="161"/>
      <c r="HD16" s="161"/>
      <c r="HE16" s="161"/>
      <c r="HF16" s="161"/>
      <c r="HG16" s="161"/>
      <c r="HH16" s="161"/>
      <c r="HI16" s="161"/>
      <c r="HJ16" s="161"/>
      <c r="HK16" s="161"/>
      <c r="HL16" s="161"/>
      <c r="HM16" s="161"/>
      <c r="HN16" s="161"/>
      <c r="HO16" s="161"/>
      <c r="HP16" s="161"/>
      <c r="HQ16" s="161"/>
      <c r="HR16" s="161"/>
      <c r="HS16" s="161"/>
      <c r="HT16" s="161"/>
      <c r="HU16" s="161"/>
      <c r="HV16" s="161"/>
      <c r="HW16" s="161"/>
      <c r="HX16" s="161"/>
      <c r="HY16" s="161"/>
      <c r="HZ16" s="161"/>
      <c r="IA16" s="161"/>
      <c r="IB16" s="161"/>
      <c r="IC16" s="161"/>
      <c r="ID16" s="161"/>
      <c r="IE16" s="161"/>
      <c r="IF16" s="161"/>
      <c r="IG16" s="161"/>
      <c r="IH16" s="161"/>
      <c r="II16" s="161"/>
      <c r="IJ16" s="161"/>
      <c r="IK16" s="161"/>
      <c r="IL16" s="161"/>
      <c r="IM16" s="161"/>
      <c r="IN16" s="161"/>
      <c r="IO16" s="161"/>
      <c r="IP16" s="161"/>
      <c r="IQ16" s="161"/>
      <c r="IR16" s="161"/>
      <c r="IS16" s="161"/>
      <c r="IT16" s="161"/>
    </row>
    <row r="17" s="127" customFormat="true" ht="29.1" customHeight="true" spans="1:254">
      <c r="A17" s="164"/>
      <c r="B17" s="164"/>
      <c r="C17" s="164"/>
      <c r="D17" s="164"/>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1"/>
      <c r="DC17" s="161"/>
      <c r="DD17" s="161"/>
      <c r="DE17" s="161"/>
      <c r="DF17" s="161"/>
      <c r="DG17" s="161"/>
      <c r="DH17" s="161"/>
      <c r="DI17" s="161"/>
      <c r="DJ17" s="161"/>
      <c r="DK17" s="161"/>
      <c r="DL17" s="161"/>
      <c r="DM17" s="161"/>
      <c r="DN17" s="161"/>
      <c r="DO17" s="161"/>
      <c r="DP17" s="161"/>
      <c r="DQ17" s="161"/>
      <c r="DR17" s="161"/>
      <c r="DS17" s="161"/>
      <c r="DT17" s="161"/>
      <c r="DU17" s="161"/>
      <c r="DV17" s="161"/>
      <c r="DW17" s="161"/>
      <c r="DX17" s="161"/>
      <c r="DY17" s="161"/>
      <c r="DZ17" s="161"/>
      <c r="EA17" s="161"/>
      <c r="EB17" s="161"/>
      <c r="EC17" s="161"/>
      <c r="ED17" s="161"/>
      <c r="EE17" s="161"/>
      <c r="EF17" s="161"/>
      <c r="EG17" s="161"/>
      <c r="EH17" s="161"/>
      <c r="EI17" s="161"/>
      <c r="EJ17" s="161"/>
      <c r="EK17" s="161"/>
      <c r="EL17" s="161"/>
      <c r="EM17" s="161"/>
      <c r="EN17" s="161"/>
      <c r="EO17" s="161"/>
      <c r="EP17" s="161"/>
      <c r="EQ17" s="161"/>
      <c r="ER17" s="161"/>
      <c r="ES17" s="161"/>
      <c r="ET17" s="161"/>
      <c r="EU17" s="161"/>
      <c r="EV17" s="161"/>
      <c r="EW17" s="161"/>
      <c r="EX17" s="161"/>
      <c r="EY17" s="161"/>
      <c r="EZ17" s="161"/>
      <c r="FA17" s="161"/>
      <c r="FB17" s="161"/>
      <c r="FC17" s="161"/>
      <c r="FD17" s="161"/>
      <c r="FE17" s="161"/>
      <c r="FF17" s="161"/>
      <c r="FG17" s="161"/>
      <c r="FH17" s="161"/>
      <c r="FI17" s="161"/>
      <c r="FJ17" s="161"/>
      <c r="FK17" s="161"/>
      <c r="FL17" s="161"/>
      <c r="FM17" s="161"/>
      <c r="FN17" s="161"/>
      <c r="FO17" s="161"/>
      <c r="FP17" s="161"/>
      <c r="FQ17" s="161"/>
      <c r="FR17" s="161"/>
      <c r="FS17" s="161"/>
      <c r="FT17" s="161"/>
      <c r="FU17" s="161"/>
      <c r="FV17" s="161"/>
      <c r="FW17" s="161"/>
      <c r="FX17" s="161"/>
      <c r="FY17" s="161"/>
      <c r="FZ17" s="161"/>
      <c r="GA17" s="161"/>
      <c r="GB17" s="161"/>
      <c r="GC17" s="161"/>
      <c r="GD17" s="161"/>
      <c r="GE17" s="161"/>
      <c r="GF17" s="161"/>
      <c r="GG17" s="161"/>
      <c r="GH17" s="161"/>
      <c r="GI17" s="161"/>
      <c r="GJ17" s="161"/>
      <c r="GK17" s="161"/>
      <c r="GL17" s="161"/>
      <c r="GM17" s="161"/>
      <c r="GN17" s="161"/>
      <c r="GO17" s="161"/>
      <c r="GP17" s="161"/>
      <c r="GQ17" s="161"/>
      <c r="GR17" s="161"/>
      <c r="GS17" s="161"/>
      <c r="GT17" s="161"/>
      <c r="GU17" s="161"/>
      <c r="GV17" s="161"/>
      <c r="GW17" s="161"/>
      <c r="GX17" s="161"/>
      <c r="GY17" s="161"/>
      <c r="GZ17" s="161"/>
      <c r="HA17" s="161"/>
      <c r="HB17" s="161"/>
      <c r="HC17" s="161"/>
      <c r="HD17" s="161"/>
      <c r="HE17" s="161"/>
      <c r="HF17" s="161"/>
      <c r="HG17" s="161"/>
      <c r="HH17" s="161"/>
      <c r="HI17" s="161"/>
      <c r="HJ17" s="161"/>
      <c r="HK17" s="161"/>
      <c r="HL17" s="161"/>
      <c r="HM17" s="161"/>
      <c r="HN17" s="161"/>
      <c r="HO17" s="161"/>
      <c r="HP17" s="161"/>
      <c r="HQ17" s="161"/>
      <c r="HR17" s="161"/>
      <c r="HS17" s="161"/>
      <c r="HT17" s="161"/>
      <c r="HU17" s="161"/>
      <c r="HV17" s="161"/>
      <c r="HW17" s="161"/>
      <c r="HX17" s="161"/>
      <c r="HY17" s="161"/>
      <c r="HZ17" s="161"/>
      <c r="IA17" s="161"/>
      <c r="IB17" s="161"/>
      <c r="IC17" s="161"/>
      <c r="ID17" s="161"/>
      <c r="IE17" s="161"/>
      <c r="IF17" s="161"/>
      <c r="IG17" s="161"/>
      <c r="IH17" s="161"/>
      <c r="II17" s="161"/>
      <c r="IJ17" s="161"/>
      <c r="IK17" s="161"/>
      <c r="IL17" s="161"/>
      <c r="IM17" s="161"/>
      <c r="IN17" s="161"/>
      <c r="IO17" s="161"/>
      <c r="IP17" s="161"/>
      <c r="IQ17" s="161"/>
      <c r="IR17" s="161"/>
      <c r="IS17" s="161"/>
      <c r="IT17" s="161"/>
    </row>
    <row r="18" s="127" customFormat="true" ht="29.1" customHeight="true" spans="1:254">
      <c r="A18" s="164"/>
      <c r="B18" s="164"/>
      <c r="C18" s="164"/>
      <c r="D18" s="164"/>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c r="DE18" s="161"/>
      <c r="DF18" s="161"/>
      <c r="DG18" s="161"/>
      <c r="DH18" s="161"/>
      <c r="DI18" s="161"/>
      <c r="DJ18" s="161"/>
      <c r="DK18" s="161"/>
      <c r="DL18" s="161"/>
      <c r="DM18" s="161"/>
      <c r="DN18" s="161"/>
      <c r="DO18" s="161"/>
      <c r="DP18" s="161"/>
      <c r="DQ18" s="161"/>
      <c r="DR18" s="161"/>
      <c r="DS18" s="161"/>
      <c r="DT18" s="161"/>
      <c r="DU18" s="161"/>
      <c r="DV18" s="161"/>
      <c r="DW18" s="161"/>
      <c r="DX18" s="161"/>
      <c r="DY18" s="161"/>
      <c r="DZ18" s="161"/>
      <c r="EA18" s="161"/>
      <c r="EB18" s="161"/>
      <c r="EC18" s="161"/>
      <c r="ED18" s="161"/>
      <c r="EE18" s="161"/>
      <c r="EF18" s="161"/>
      <c r="EG18" s="161"/>
      <c r="EH18" s="161"/>
      <c r="EI18" s="161"/>
      <c r="EJ18" s="161"/>
      <c r="EK18" s="161"/>
      <c r="EL18" s="161"/>
      <c r="EM18" s="161"/>
      <c r="EN18" s="161"/>
      <c r="EO18" s="161"/>
      <c r="EP18" s="161"/>
      <c r="EQ18" s="161"/>
      <c r="ER18" s="161"/>
      <c r="ES18" s="161"/>
      <c r="ET18" s="161"/>
      <c r="EU18" s="161"/>
      <c r="EV18" s="161"/>
      <c r="EW18" s="161"/>
      <c r="EX18" s="161"/>
      <c r="EY18" s="161"/>
      <c r="EZ18" s="161"/>
      <c r="FA18" s="161"/>
      <c r="FB18" s="161"/>
      <c r="FC18" s="161"/>
      <c r="FD18" s="161"/>
      <c r="FE18" s="161"/>
      <c r="FF18" s="161"/>
      <c r="FG18" s="161"/>
      <c r="FH18" s="161"/>
      <c r="FI18" s="161"/>
      <c r="FJ18" s="161"/>
      <c r="FK18" s="161"/>
      <c r="FL18" s="161"/>
      <c r="FM18" s="161"/>
      <c r="FN18" s="161"/>
      <c r="FO18" s="161"/>
      <c r="FP18" s="161"/>
      <c r="FQ18" s="161"/>
      <c r="FR18" s="161"/>
      <c r="FS18" s="161"/>
      <c r="FT18" s="161"/>
      <c r="FU18" s="161"/>
      <c r="FV18" s="161"/>
      <c r="FW18" s="161"/>
      <c r="FX18" s="161"/>
      <c r="FY18" s="161"/>
      <c r="FZ18" s="161"/>
      <c r="GA18" s="161"/>
      <c r="GB18" s="161"/>
      <c r="GC18" s="161"/>
      <c r="GD18" s="161"/>
      <c r="GE18" s="161"/>
      <c r="GF18" s="161"/>
      <c r="GG18" s="161"/>
      <c r="GH18" s="161"/>
      <c r="GI18" s="161"/>
      <c r="GJ18" s="161"/>
      <c r="GK18" s="161"/>
      <c r="GL18" s="161"/>
      <c r="GM18" s="161"/>
      <c r="GN18" s="161"/>
      <c r="GO18" s="161"/>
      <c r="GP18" s="161"/>
      <c r="GQ18" s="161"/>
      <c r="GR18" s="161"/>
      <c r="GS18" s="161"/>
      <c r="GT18" s="161"/>
      <c r="GU18" s="161"/>
      <c r="GV18" s="161"/>
      <c r="GW18" s="161"/>
      <c r="GX18" s="161"/>
      <c r="GY18" s="161"/>
      <c r="GZ18" s="161"/>
      <c r="HA18" s="161"/>
      <c r="HB18" s="161"/>
      <c r="HC18" s="161"/>
      <c r="HD18" s="161"/>
      <c r="HE18" s="161"/>
      <c r="HF18" s="161"/>
      <c r="HG18" s="161"/>
      <c r="HH18" s="161"/>
      <c r="HI18" s="161"/>
      <c r="HJ18" s="161"/>
      <c r="HK18" s="161"/>
      <c r="HL18" s="161"/>
      <c r="HM18" s="161"/>
      <c r="HN18" s="161"/>
      <c r="HO18" s="161"/>
      <c r="HP18" s="161"/>
      <c r="HQ18" s="161"/>
      <c r="HR18" s="161"/>
      <c r="HS18" s="161"/>
      <c r="HT18" s="161"/>
      <c r="HU18" s="161"/>
      <c r="HV18" s="161"/>
      <c r="HW18" s="161"/>
      <c r="HX18" s="161"/>
      <c r="HY18" s="161"/>
      <c r="HZ18" s="161"/>
      <c r="IA18" s="161"/>
      <c r="IB18" s="161"/>
      <c r="IC18" s="161"/>
      <c r="ID18" s="161"/>
      <c r="IE18" s="161"/>
      <c r="IF18" s="161"/>
      <c r="IG18" s="161"/>
      <c r="IH18" s="161"/>
      <c r="II18" s="161"/>
      <c r="IJ18" s="161"/>
      <c r="IK18" s="161"/>
      <c r="IL18" s="161"/>
      <c r="IM18" s="161"/>
      <c r="IN18" s="161"/>
      <c r="IO18" s="161"/>
      <c r="IP18" s="161"/>
      <c r="IQ18" s="161"/>
      <c r="IR18" s="161"/>
      <c r="IS18" s="161"/>
      <c r="IT18" s="161"/>
    </row>
    <row r="19" s="127" customFormat="true" ht="29.1" customHeight="true" spans="1:254">
      <c r="A19" s="163" t="s">
        <v>233</v>
      </c>
      <c r="B19" s="163">
        <f>SUM(B6:B18)</f>
        <v>235</v>
      </c>
      <c r="C19" s="163" t="s">
        <v>234</v>
      </c>
      <c r="D19" s="165">
        <f>SUM(D6:D18)</f>
        <v>47</v>
      </c>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1"/>
      <c r="DE19" s="161"/>
      <c r="DF19" s="161"/>
      <c r="DG19" s="161"/>
      <c r="DH19" s="161"/>
      <c r="DI19" s="161"/>
      <c r="DJ19" s="161"/>
      <c r="DK19" s="161"/>
      <c r="DL19" s="161"/>
      <c r="DM19" s="161"/>
      <c r="DN19" s="161"/>
      <c r="DO19" s="161"/>
      <c r="DP19" s="161"/>
      <c r="DQ19" s="161"/>
      <c r="DR19" s="161"/>
      <c r="DS19" s="161"/>
      <c r="DT19" s="161"/>
      <c r="DU19" s="161"/>
      <c r="DV19" s="161"/>
      <c r="DW19" s="161"/>
      <c r="DX19" s="161"/>
      <c r="DY19" s="161"/>
      <c r="DZ19" s="161"/>
      <c r="EA19" s="161"/>
      <c r="EB19" s="161"/>
      <c r="EC19" s="161"/>
      <c r="ED19" s="161"/>
      <c r="EE19" s="161"/>
      <c r="EF19" s="161"/>
      <c r="EG19" s="161"/>
      <c r="EH19" s="161"/>
      <c r="EI19" s="161"/>
      <c r="EJ19" s="161"/>
      <c r="EK19" s="161"/>
      <c r="EL19" s="161"/>
      <c r="EM19" s="161"/>
      <c r="EN19" s="161"/>
      <c r="EO19" s="161"/>
      <c r="EP19" s="161"/>
      <c r="EQ19" s="161"/>
      <c r="ER19" s="161"/>
      <c r="ES19" s="161"/>
      <c r="ET19" s="161"/>
      <c r="EU19" s="161"/>
      <c r="EV19" s="161"/>
      <c r="EW19" s="161"/>
      <c r="EX19" s="161"/>
      <c r="EY19" s="161"/>
      <c r="EZ19" s="161"/>
      <c r="FA19" s="161"/>
      <c r="FB19" s="161"/>
      <c r="FC19" s="161"/>
      <c r="FD19" s="161"/>
      <c r="FE19" s="161"/>
      <c r="FF19" s="161"/>
      <c r="FG19" s="161"/>
      <c r="FH19" s="161"/>
      <c r="FI19" s="161"/>
      <c r="FJ19" s="161"/>
      <c r="FK19" s="161"/>
      <c r="FL19" s="161"/>
      <c r="FM19" s="161"/>
      <c r="FN19" s="161"/>
      <c r="FO19" s="161"/>
      <c r="FP19" s="161"/>
      <c r="FQ19" s="161"/>
      <c r="FR19" s="161"/>
      <c r="FS19" s="161"/>
      <c r="FT19" s="161"/>
      <c r="FU19" s="161"/>
      <c r="FV19" s="161"/>
      <c r="FW19" s="161"/>
      <c r="FX19" s="161"/>
      <c r="FY19" s="161"/>
      <c r="FZ19" s="161"/>
      <c r="GA19" s="161"/>
      <c r="GB19" s="161"/>
      <c r="GC19" s="161"/>
      <c r="GD19" s="161"/>
      <c r="GE19" s="161"/>
      <c r="GF19" s="161"/>
      <c r="GG19" s="161"/>
      <c r="GH19" s="161"/>
      <c r="GI19" s="161"/>
      <c r="GJ19" s="161"/>
      <c r="GK19" s="161"/>
      <c r="GL19" s="161"/>
      <c r="GM19" s="161"/>
      <c r="GN19" s="161"/>
      <c r="GO19" s="161"/>
      <c r="GP19" s="161"/>
      <c r="GQ19" s="161"/>
      <c r="GR19" s="161"/>
      <c r="GS19" s="161"/>
      <c r="GT19" s="161"/>
      <c r="GU19" s="161"/>
      <c r="GV19" s="161"/>
      <c r="GW19" s="161"/>
      <c r="GX19" s="161"/>
      <c r="GY19" s="161"/>
      <c r="GZ19" s="161"/>
      <c r="HA19" s="161"/>
      <c r="HB19" s="161"/>
      <c r="HC19" s="161"/>
      <c r="HD19" s="161"/>
      <c r="HE19" s="161"/>
      <c r="HF19" s="161"/>
      <c r="HG19" s="161"/>
      <c r="HH19" s="161"/>
      <c r="HI19" s="161"/>
      <c r="HJ19" s="161"/>
      <c r="HK19" s="161"/>
      <c r="HL19" s="161"/>
      <c r="HM19" s="161"/>
      <c r="HN19" s="161"/>
      <c r="HO19" s="161"/>
      <c r="HP19" s="161"/>
      <c r="HQ19" s="161"/>
      <c r="HR19" s="161"/>
      <c r="HS19" s="161"/>
      <c r="HT19" s="161"/>
      <c r="HU19" s="161"/>
      <c r="HV19" s="161"/>
      <c r="HW19" s="161"/>
      <c r="HX19" s="161"/>
      <c r="HY19" s="161"/>
      <c r="HZ19" s="161"/>
      <c r="IA19" s="161"/>
      <c r="IB19" s="161"/>
      <c r="IC19" s="161"/>
      <c r="ID19" s="161"/>
      <c r="IE19" s="161"/>
      <c r="IF19" s="161"/>
      <c r="IG19" s="161"/>
      <c r="IH19" s="161"/>
      <c r="II19" s="161"/>
      <c r="IJ19" s="161"/>
      <c r="IK19" s="161"/>
      <c r="IL19" s="161"/>
      <c r="IM19" s="161"/>
      <c r="IN19" s="161"/>
      <c r="IO19" s="161"/>
      <c r="IP19" s="161"/>
      <c r="IQ19" s="161"/>
      <c r="IR19" s="161"/>
      <c r="IS19" s="161"/>
      <c r="IT19" s="161"/>
    </row>
    <row r="20" s="127" customFormat="true" ht="29.1" customHeight="true" spans="1:254">
      <c r="A20" s="164" t="s">
        <v>235</v>
      </c>
      <c r="B20" s="164">
        <f>11+2+2+1</f>
        <v>16</v>
      </c>
      <c r="C20" s="164" t="s">
        <v>236</v>
      </c>
      <c r="D20" s="164"/>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1"/>
      <c r="DD20" s="161"/>
      <c r="DE20" s="161"/>
      <c r="DF20" s="161"/>
      <c r="DG20" s="161"/>
      <c r="DH20" s="161"/>
      <c r="DI20" s="161"/>
      <c r="DJ20" s="161"/>
      <c r="DK20" s="161"/>
      <c r="DL20" s="161"/>
      <c r="DM20" s="161"/>
      <c r="DN20" s="161"/>
      <c r="DO20" s="161"/>
      <c r="DP20" s="161"/>
      <c r="DQ20" s="161"/>
      <c r="DR20" s="161"/>
      <c r="DS20" s="161"/>
      <c r="DT20" s="161"/>
      <c r="DU20" s="161"/>
      <c r="DV20" s="161"/>
      <c r="DW20" s="161"/>
      <c r="DX20" s="161"/>
      <c r="DY20" s="161"/>
      <c r="DZ20" s="161"/>
      <c r="EA20" s="161"/>
      <c r="EB20" s="161"/>
      <c r="EC20" s="161"/>
      <c r="ED20" s="161"/>
      <c r="EE20" s="161"/>
      <c r="EF20" s="161"/>
      <c r="EG20" s="161"/>
      <c r="EH20" s="161"/>
      <c r="EI20" s="161"/>
      <c r="EJ20" s="161"/>
      <c r="EK20" s="161"/>
      <c r="EL20" s="161"/>
      <c r="EM20" s="161"/>
      <c r="EN20" s="161"/>
      <c r="EO20" s="161"/>
      <c r="EP20" s="161"/>
      <c r="EQ20" s="161"/>
      <c r="ER20" s="161"/>
      <c r="ES20" s="161"/>
      <c r="ET20" s="161"/>
      <c r="EU20" s="161"/>
      <c r="EV20" s="161"/>
      <c r="EW20" s="161"/>
      <c r="EX20" s="161"/>
      <c r="EY20" s="161"/>
      <c r="EZ20" s="161"/>
      <c r="FA20" s="161"/>
      <c r="FB20" s="161"/>
      <c r="FC20" s="161"/>
      <c r="FD20" s="161"/>
      <c r="FE20" s="161"/>
      <c r="FF20" s="161"/>
      <c r="FG20" s="161"/>
      <c r="FH20" s="161"/>
      <c r="FI20" s="161"/>
      <c r="FJ20" s="161"/>
      <c r="FK20" s="161"/>
      <c r="FL20" s="161"/>
      <c r="FM20" s="161"/>
      <c r="FN20" s="161"/>
      <c r="FO20" s="161"/>
      <c r="FP20" s="161"/>
      <c r="FQ20" s="161"/>
      <c r="FR20" s="161"/>
      <c r="FS20" s="161"/>
      <c r="FT20" s="161"/>
      <c r="FU20" s="161"/>
      <c r="FV20" s="161"/>
      <c r="FW20" s="161"/>
      <c r="FX20" s="161"/>
      <c r="FY20" s="161"/>
      <c r="FZ20" s="161"/>
      <c r="GA20" s="161"/>
      <c r="GB20" s="161"/>
      <c r="GC20" s="161"/>
      <c r="GD20" s="161"/>
      <c r="GE20" s="161"/>
      <c r="GF20" s="161"/>
      <c r="GG20" s="161"/>
      <c r="GH20" s="161"/>
      <c r="GI20" s="161"/>
      <c r="GJ20" s="161"/>
      <c r="GK20" s="161"/>
      <c r="GL20" s="161"/>
      <c r="GM20" s="161"/>
      <c r="GN20" s="161"/>
      <c r="GO20" s="161"/>
      <c r="GP20" s="161"/>
      <c r="GQ20" s="161"/>
      <c r="GR20" s="161"/>
      <c r="GS20" s="161"/>
      <c r="GT20" s="161"/>
      <c r="GU20" s="161"/>
      <c r="GV20" s="161"/>
      <c r="GW20" s="161"/>
      <c r="GX20" s="161"/>
      <c r="GY20" s="161"/>
      <c r="GZ20" s="161"/>
      <c r="HA20" s="161"/>
      <c r="HB20" s="161"/>
      <c r="HC20" s="161"/>
      <c r="HD20" s="161"/>
      <c r="HE20" s="161"/>
      <c r="HF20" s="161"/>
      <c r="HG20" s="161"/>
      <c r="HH20" s="161"/>
      <c r="HI20" s="161"/>
      <c r="HJ20" s="161"/>
      <c r="HK20" s="161"/>
      <c r="HL20" s="161"/>
      <c r="HM20" s="161"/>
      <c r="HN20" s="161"/>
      <c r="HO20" s="161"/>
      <c r="HP20" s="161"/>
      <c r="HQ20" s="161"/>
      <c r="HR20" s="161"/>
      <c r="HS20" s="161"/>
      <c r="HT20" s="161"/>
      <c r="HU20" s="161"/>
      <c r="HV20" s="161"/>
      <c r="HW20" s="161"/>
      <c r="HX20" s="161"/>
      <c r="HY20" s="161"/>
      <c r="HZ20" s="161"/>
      <c r="IA20" s="161"/>
      <c r="IB20" s="161"/>
      <c r="IC20" s="161"/>
      <c r="ID20" s="161"/>
      <c r="IE20" s="161"/>
      <c r="IF20" s="161"/>
      <c r="IG20" s="161"/>
      <c r="IH20" s="161"/>
      <c r="II20" s="161"/>
      <c r="IJ20" s="161"/>
      <c r="IK20" s="161"/>
      <c r="IL20" s="161"/>
      <c r="IM20" s="161"/>
      <c r="IN20" s="161"/>
      <c r="IO20" s="161"/>
      <c r="IP20" s="161"/>
      <c r="IQ20" s="161"/>
      <c r="IR20" s="161"/>
      <c r="IS20" s="161"/>
      <c r="IT20" s="161"/>
    </row>
    <row r="21" s="127" customFormat="true" ht="29.1" customHeight="true" spans="1:254">
      <c r="A21" s="164" t="s">
        <v>237</v>
      </c>
      <c r="B21" s="164"/>
      <c r="C21" s="164" t="s">
        <v>238</v>
      </c>
      <c r="D21" s="164"/>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1"/>
      <c r="DH21" s="161"/>
      <c r="DI21" s="161"/>
      <c r="DJ21" s="161"/>
      <c r="DK21" s="161"/>
      <c r="DL21" s="161"/>
      <c r="DM21" s="161"/>
      <c r="DN21" s="161"/>
      <c r="DO21" s="161"/>
      <c r="DP21" s="161"/>
      <c r="DQ21" s="161"/>
      <c r="DR21" s="161"/>
      <c r="DS21" s="161"/>
      <c r="DT21" s="161"/>
      <c r="DU21" s="161"/>
      <c r="DV21" s="161"/>
      <c r="DW21" s="161"/>
      <c r="DX21" s="161"/>
      <c r="DY21" s="161"/>
      <c r="DZ21" s="161"/>
      <c r="EA21" s="161"/>
      <c r="EB21" s="161"/>
      <c r="EC21" s="161"/>
      <c r="ED21" s="161"/>
      <c r="EE21" s="161"/>
      <c r="EF21" s="161"/>
      <c r="EG21" s="161"/>
      <c r="EH21" s="161"/>
      <c r="EI21" s="161"/>
      <c r="EJ21" s="161"/>
      <c r="EK21" s="161"/>
      <c r="EL21" s="161"/>
      <c r="EM21" s="161"/>
      <c r="EN21" s="161"/>
      <c r="EO21" s="161"/>
      <c r="EP21" s="161"/>
      <c r="EQ21" s="161"/>
      <c r="ER21" s="161"/>
      <c r="ES21" s="161"/>
      <c r="ET21" s="161"/>
      <c r="EU21" s="161"/>
      <c r="EV21" s="161"/>
      <c r="EW21" s="161"/>
      <c r="EX21" s="161"/>
      <c r="EY21" s="161"/>
      <c r="EZ21" s="161"/>
      <c r="FA21" s="161"/>
      <c r="FB21" s="161"/>
      <c r="FC21" s="161"/>
      <c r="FD21" s="161"/>
      <c r="FE21" s="161"/>
      <c r="FF21" s="161"/>
      <c r="FG21" s="161"/>
      <c r="FH21" s="161"/>
      <c r="FI21" s="161"/>
      <c r="FJ21" s="161"/>
      <c r="FK21" s="161"/>
      <c r="FL21" s="161"/>
      <c r="FM21" s="161"/>
      <c r="FN21" s="161"/>
      <c r="FO21" s="161"/>
      <c r="FP21" s="161"/>
      <c r="FQ21" s="161"/>
      <c r="FR21" s="161"/>
      <c r="FS21" s="161"/>
      <c r="FT21" s="161"/>
      <c r="FU21" s="161"/>
      <c r="FV21" s="161"/>
      <c r="FW21" s="161"/>
      <c r="FX21" s="161"/>
      <c r="FY21" s="161"/>
      <c r="FZ21" s="161"/>
      <c r="GA21" s="161"/>
      <c r="GB21" s="161"/>
      <c r="GC21" s="161"/>
      <c r="GD21" s="161"/>
      <c r="GE21" s="161"/>
      <c r="GF21" s="161"/>
      <c r="GG21" s="161"/>
      <c r="GH21" s="161"/>
      <c r="GI21" s="161"/>
      <c r="GJ21" s="161"/>
      <c r="GK21" s="161"/>
      <c r="GL21" s="161"/>
      <c r="GM21" s="161"/>
      <c r="GN21" s="161"/>
      <c r="GO21" s="161"/>
      <c r="GP21" s="161"/>
      <c r="GQ21" s="161"/>
      <c r="GR21" s="161"/>
      <c r="GS21" s="161"/>
      <c r="GT21" s="161"/>
      <c r="GU21" s="161"/>
      <c r="GV21" s="161"/>
      <c r="GW21" s="161"/>
      <c r="GX21" s="161"/>
      <c r="GY21" s="161"/>
      <c r="GZ21" s="161"/>
      <c r="HA21" s="161"/>
      <c r="HB21" s="161"/>
      <c r="HC21" s="161"/>
      <c r="HD21" s="161"/>
      <c r="HE21" s="161"/>
      <c r="HF21" s="161"/>
      <c r="HG21" s="161"/>
      <c r="HH21" s="161"/>
      <c r="HI21" s="161"/>
      <c r="HJ21" s="161"/>
      <c r="HK21" s="161"/>
      <c r="HL21" s="161"/>
      <c r="HM21" s="161"/>
      <c r="HN21" s="161"/>
      <c r="HO21" s="161"/>
      <c r="HP21" s="161"/>
      <c r="HQ21" s="161"/>
      <c r="HR21" s="161"/>
      <c r="HS21" s="161"/>
      <c r="HT21" s="161"/>
      <c r="HU21" s="161"/>
      <c r="HV21" s="161"/>
      <c r="HW21" s="161"/>
      <c r="HX21" s="161"/>
      <c r="HY21" s="161"/>
      <c r="HZ21" s="161"/>
      <c r="IA21" s="161"/>
      <c r="IB21" s="161"/>
      <c r="IC21" s="161"/>
      <c r="ID21" s="161"/>
      <c r="IE21" s="161"/>
      <c r="IF21" s="161"/>
      <c r="IG21" s="161"/>
      <c r="IH21" s="161"/>
      <c r="II21" s="161"/>
      <c r="IJ21" s="161"/>
      <c r="IK21" s="161"/>
      <c r="IL21" s="161"/>
      <c r="IM21" s="161"/>
      <c r="IN21" s="161"/>
      <c r="IO21" s="161"/>
      <c r="IP21" s="161"/>
      <c r="IQ21" s="161"/>
      <c r="IR21" s="161"/>
      <c r="IS21" s="161"/>
      <c r="IT21" s="161"/>
    </row>
    <row r="22" s="127" customFormat="true" ht="29.1" customHeight="true" spans="1:254">
      <c r="A22" s="164" t="s">
        <v>239</v>
      </c>
      <c r="B22" s="164">
        <v>31</v>
      </c>
      <c r="C22" s="164" t="s">
        <v>240</v>
      </c>
      <c r="D22" s="164">
        <v>235</v>
      </c>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1"/>
      <c r="DE22" s="161"/>
      <c r="DF22" s="161"/>
      <c r="DG22" s="161"/>
      <c r="DH22" s="161"/>
      <c r="DI22" s="161"/>
      <c r="DJ22" s="161"/>
      <c r="DK22" s="161"/>
      <c r="DL22" s="161"/>
      <c r="DM22" s="161"/>
      <c r="DN22" s="161"/>
      <c r="DO22" s="161"/>
      <c r="DP22" s="161"/>
      <c r="DQ22" s="161"/>
      <c r="DR22" s="161"/>
      <c r="DS22" s="161"/>
      <c r="DT22" s="161"/>
      <c r="DU22" s="161"/>
      <c r="DV22" s="161"/>
      <c r="DW22" s="161"/>
      <c r="DX22" s="161"/>
      <c r="DY22" s="161"/>
      <c r="DZ22" s="161"/>
      <c r="EA22" s="161"/>
      <c r="EB22" s="161"/>
      <c r="EC22" s="161"/>
      <c r="ED22" s="161"/>
      <c r="EE22" s="161"/>
      <c r="EF22" s="161"/>
      <c r="EG22" s="161"/>
      <c r="EH22" s="161"/>
      <c r="EI22" s="161"/>
      <c r="EJ22" s="161"/>
      <c r="EK22" s="161"/>
      <c r="EL22" s="161"/>
      <c r="EM22" s="161"/>
      <c r="EN22" s="161"/>
      <c r="EO22" s="161"/>
      <c r="EP22" s="161"/>
      <c r="EQ22" s="161"/>
      <c r="ER22" s="161"/>
      <c r="ES22" s="161"/>
      <c r="ET22" s="161"/>
      <c r="EU22" s="161"/>
      <c r="EV22" s="161"/>
      <c r="EW22" s="161"/>
      <c r="EX22" s="161"/>
      <c r="EY22" s="161"/>
      <c r="EZ22" s="161"/>
      <c r="FA22" s="161"/>
      <c r="FB22" s="161"/>
      <c r="FC22" s="161"/>
      <c r="FD22" s="161"/>
      <c r="FE22" s="161"/>
      <c r="FF22" s="161"/>
      <c r="FG22" s="161"/>
      <c r="FH22" s="161"/>
      <c r="FI22" s="161"/>
      <c r="FJ22" s="161"/>
      <c r="FK22" s="161"/>
      <c r="FL22" s="161"/>
      <c r="FM22" s="161"/>
      <c r="FN22" s="161"/>
      <c r="FO22" s="161"/>
      <c r="FP22" s="161"/>
      <c r="FQ22" s="161"/>
      <c r="FR22" s="161"/>
      <c r="FS22" s="161"/>
      <c r="FT22" s="161"/>
      <c r="FU22" s="161"/>
      <c r="FV22" s="161"/>
      <c r="FW22" s="161"/>
      <c r="FX22" s="161"/>
      <c r="FY22" s="161"/>
      <c r="FZ22" s="161"/>
      <c r="GA22" s="161"/>
      <c r="GB22" s="161"/>
      <c r="GC22" s="161"/>
      <c r="GD22" s="161"/>
      <c r="GE22" s="161"/>
      <c r="GF22" s="161"/>
      <c r="GG22" s="161"/>
      <c r="GH22" s="161"/>
      <c r="GI22" s="161"/>
      <c r="GJ22" s="161"/>
      <c r="GK22" s="161"/>
      <c r="GL22" s="161"/>
      <c r="GM22" s="161"/>
      <c r="GN22" s="161"/>
      <c r="GO22" s="161"/>
      <c r="GP22" s="161"/>
      <c r="GQ22" s="161"/>
      <c r="GR22" s="161"/>
      <c r="GS22" s="161"/>
      <c r="GT22" s="161"/>
      <c r="GU22" s="161"/>
      <c r="GV22" s="161"/>
      <c r="GW22" s="161"/>
      <c r="GX22" s="161"/>
      <c r="GY22" s="161"/>
      <c r="GZ22" s="161"/>
      <c r="HA22" s="161"/>
      <c r="HB22" s="161"/>
      <c r="HC22" s="161"/>
      <c r="HD22" s="161"/>
      <c r="HE22" s="161"/>
      <c r="HF22" s="161"/>
      <c r="HG22" s="161"/>
      <c r="HH22" s="161"/>
      <c r="HI22" s="161"/>
      <c r="HJ22" s="161"/>
      <c r="HK22" s="161"/>
      <c r="HL22" s="161"/>
      <c r="HM22" s="161"/>
      <c r="HN22" s="161"/>
      <c r="HO22" s="161"/>
      <c r="HP22" s="161"/>
      <c r="HQ22" s="161"/>
      <c r="HR22" s="161"/>
      <c r="HS22" s="161"/>
      <c r="HT22" s="161"/>
      <c r="HU22" s="161"/>
      <c r="HV22" s="161"/>
      <c r="HW22" s="161"/>
      <c r="HX22" s="161"/>
      <c r="HY22" s="161"/>
      <c r="HZ22" s="161"/>
      <c r="IA22" s="161"/>
      <c r="IB22" s="161"/>
      <c r="IC22" s="161"/>
      <c r="ID22" s="161"/>
      <c r="IE22" s="161"/>
      <c r="IF22" s="161"/>
      <c r="IG22" s="161"/>
      <c r="IH22" s="161"/>
      <c r="II22" s="161"/>
      <c r="IJ22" s="161"/>
      <c r="IK22" s="161"/>
      <c r="IL22" s="161"/>
      <c r="IM22" s="161"/>
      <c r="IN22" s="161"/>
      <c r="IO22" s="161"/>
      <c r="IP22" s="161"/>
      <c r="IQ22" s="161"/>
      <c r="IR22" s="161"/>
      <c r="IS22" s="161"/>
      <c r="IT22" s="161"/>
    </row>
    <row r="23" s="127" customFormat="true" ht="29.1" customHeight="true" spans="1:254">
      <c r="A23" s="164"/>
      <c r="B23" s="164"/>
      <c r="C23" s="164" t="s">
        <v>241</v>
      </c>
      <c r="D23" s="164"/>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1"/>
      <c r="DD23" s="161"/>
      <c r="DE23" s="161"/>
      <c r="DF23" s="161"/>
      <c r="DG23" s="161"/>
      <c r="DH23" s="161"/>
      <c r="DI23" s="161"/>
      <c r="DJ23" s="161"/>
      <c r="DK23" s="161"/>
      <c r="DL23" s="161"/>
      <c r="DM23" s="161"/>
      <c r="DN23" s="161"/>
      <c r="DO23" s="161"/>
      <c r="DP23" s="161"/>
      <c r="DQ23" s="161"/>
      <c r="DR23" s="161"/>
      <c r="DS23" s="161"/>
      <c r="DT23" s="161"/>
      <c r="DU23" s="161"/>
      <c r="DV23" s="161"/>
      <c r="DW23" s="161"/>
      <c r="DX23" s="161"/>
      <c r="DY23" s="161"/>
      <c r="DZ23" s="161"/>
      <c r="EA23" s="161"/>
      <c r="EB23" s="161"/>
      <c r="EC23" s="161"/>
      <c r="ED23" s="161"/>
      <c r="EE23" s="161"/>
      <c r="EF23" s="161"/>
      <c r="EG23" s="161"/>
      <c r="EH23" s="161"/>
      <c r="EI23" s="161"/>
      <c r="EJ23" s="161"/>
      <c r="EK23" s="161"/>
      <c r="EL23" s="161"/>
      <c r="EM23" s="161"/>
      <c r="EN23" s="161"/>
      <c r="EO23" s="161"/>
      <c r="EP23" s="161"/>
      <c r="EQ23" s="161"/>
      <c r="ER23" s="161"/>
      <c r="ES23" s="161"/>
      <c r="ET23" s="161"/>
      <c r="EU23" s="161"/>
      <c r="EV23" s="161"/>
      <c r="EW23" s="161"/>
      <c r="EX23" s="161"/>
      <c r="EY23" s="161"/>
      <c r="EZ23" s="161"/>
      <c r="FA23" s="161"/>
      <c r="FB23" s="161"/>
      <c r="FC23" s="161"/>
      <c r="FD23" s="161"/>
      <c r="FE23" s="161"/>
      <c r="FF23" s="161"/>
      <c r="FG23" s="161"/>
      <c r="FH23" s="161"/>
      <c r="FI23" s="161"/>
      <c r="FJ23" s="161"/>
      <c r="FK23" s="161"/>
      <c r="FL23" s="161"/>
      <c r="FM23" s="161"/>
      <c r="FN23" s="161"/>
      <c r="FO23" s="161"/>
      <c r="FP23" s="161"/>
      <c r="FQ23" s="161"/>
      <c r="FR23" s="161"/>
      <c r="FS23" s="161"/>
      <c r="FT23" s="161"/>
      <c r="FU23" s="161"/>
      <c r="FV23" s="161"/>
      <c r="FW23" s="161"/>
      <c r="FX23" s="161"/>
      <c r="FY23" s="161"/>
      <c r="FZ23" s="161"/>
      <c r="GA23" s="161"/>
      <c r="GB23" s="161"/>
      <c r="GC23" s="161"/>
      <c r="GD23" s="161"/>
      <c r="GE23" s="161"/>
      <c r="GF23" s="161"/>
      <c r="GG23" s="161"/>
      <c r="GH23" s="161"/>
      <c r="GI23" s="161"/>
      <c r="GJ23" s="161"/>
      <c r="GK23" s="161"/>
      <c r="GL23" s="161"/>
      <c r="GM23" s="161"/>
      <c r="GN23" s="161"/>
      <c r="GO23" s="161"/>
      <c r="GP23" s="161"/>
      <c r="GQ23" s="161"/>
      <c r="GR23" s="161"/>
      <c r="GS23" s="161"/>
      <c r="GT23" s="161"/>
      <c r="GU23" s="161"/>
      <c r="GV23" s="161"/>
      <c r="GW23" s="161"/>
      <c r="GX23" s="161"/>
      <c r="GY23" s="161"/>
      <c r="GZ23" s="161"/>
      <c r="HA23" s="161"/>
      <c r="HB23" s="161"/>
      <c r="HC23" s="161"/>
      <c r="HD23" s="161"/>
      <c r="HE23" s="161"/>
      <c r="HF23" s="161"/>
      <c r="HG23" s="161"/>
      <c r="HH23" s="161"/>
      <c r="HI23" s="161"/>
      <c r="HJ23" s="161"/>
      <c r="HK23" s="161"/>
      <c r="HL23" s="161"/>
      <c r="HM23" s="161"/>
      <c r="HN23" s="161"/>
      <c r="HO23" s="161"/>
      <c r="HP23" s="161"/>
      <c r="HQ23" s="161"/>
      <c r="HR23" s="161"/>
      <c r="HS23" s="161"/>
      <c r="HT23" s="161"/>
      <c r="HU23" s="161"/>
      <c r="HV23" s="161"/>
      <c r="HW23" s="161"/>
      <c r="HX23" s="161"/>
      <c r="HY23" s="161"/>
      <c r="HZ23" s="161"/>
      <c r="IA23" s="161"/>
      <c r="IB23" s="161"/>
      <c r="IC23" s="161"/>
      <c r="ID23" s="161"/>
      <c r="IE23" s="161"/>
      <c r="IF23" s="161"/>
      <c r="IG23" s="161"/>
      <c r="IH23" s="161"/>
      <c r="II23" s="161"/>
      <c r="IJ23" s="161"/>
      <c r="IK23" s="161"/>
      <c r="IL23" s="161"/>
      <c r="IM23" s="161"/>
      <c r="IN23" s="161"/>
      <c r="IO23" s="161"/>
      <c r="IP23" s="161"/>
      <c r="IQ23" s="161"/>
      <c r="IR23" s="161"/>
      <c r="IS23" s="161"/>
      <c r="IT23" s="161"/>
    </row>
    <row r="24" s="145" customFormat="true" ht="29.1" customHeight="true" spans="1:254">
      <c r="A24" s="163" t="s">
        <v>67</v>
      </c>
      <c r="B24" s="163">
        <f>B19+B20+B21+B22</f>
        <v>282</v>
      </c>
      <c r="C24" s="163" t="s">
        <v>242</v>
      </c>
      <c r="D24" s="165">
        <f>D19+D20+D21+D22+D23</f>
        <v>282</v>
      </c>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c r="GT24" s="144"/>
      <c r="GU24" s="144"/>
      <c r="GV24" s="144"/>
      <c r="GW24" s="144"/>
      <c r="GX24" s="144"/>
      <c r="GY24" s="144"/>
      <c r="GZ24" s="144"/>
      <c r="HA24" s="144"/>
      <c r="HB24" s="144"/>
      <c r="HC24" s="144"/>
      <c r="HD24" s="144"/>
      <c r="HE24" s="144"/>
      <c r="HF24" s="144"/>
      <c r="HG24" s="144"/>
      <c r="HH24" s="144"/>
      <c r="HI24" s="144"/>
      <c r="HJ24" s="144"/>
      <c r="HK24" s="144"/>
      <c r="HL24" s="144"/>
      <c r="HM24" s="144"/>
      <c r="HN24" s="144"/>
      <c r="HO24" s="144"/>
      <c r="HP24" s="144"/>
      <c r="HQ24" s="144"/>
      <c r="HR24" s="144"/>
      <c r="HS24" s="144"/>
      <c r="HT24" s="144"/>
      <c r="HU24" s="144"/>
      <c r="HV24" s="144"/>
      <c r="HW24" s="144"/>
      <c r="HX24" s="144"/>
      <c r="HY24" s="144"/>
      <c r="HZ24" s="144"/>
      <c r="IA24" s="144"/>
      <c r="IB24" s="144"/>
      <c r="IC24" s="144"/>
      <c r="ID24" s="144"/>
      <c r="IE24" s="144"/>
      <c r="IF24" s="144"/>
      <c r="IG24" s="144"/>
      <c r="IH24" s="144"/>
      <c r="II24" s="167"/>
      <c r="IJ24" s="167"/>
      <c r="IK24" s="167"/>
      <c r="IL24" s="167"/>
      <c r="IM24" s="167"/>
      <c r="IN24" s="167"/>
      <c r="IO24" s="167"/>
      <c r="IP24" s="167"/>
      <c r="IQ24" s="167"/>
      <c r="IR24" s="167"/>
      <c r="IS24" s="167"/>
      <c r="IT24" s="167"/>
    </row>
    <row r="25" s="160" customFormat="true" ht="22.5" customHeight="true" spans="1:242">
      <c r="A25" s="130"/>
      <c r="B25" s="130"/>
      <c r="C25" s="130"/>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6"/>
      <c r="CU25" s="166"/>
      <c r="CV25" s="166"/>
      <c r="CW25" s="166"/>
      <c r="CX25" s="166"/>
      <c r="CY25" s="166"/>
      <c r="CZ25" s="166"/>
      <c r="DA25" s="166"/>
      <c r="DB25" s="166"/>
      <c r="DC25" s="166"/>
      <c r="DD25" s="166"/>
      <c r="DE25" s="166"/>
      <c r="DF25" s="166"/>
      <c r="DG25" s="166"/>
      <c r="DH25" s="166"/>
      <c r="DI25" s="166"/>
      <c r="DJ25" s="166"/>
      <c r="DK25" s="166"/>
      <c r="DL25" s="166"/>
      <c r="DM25" s="166"/>
      <c r="DN25" s="166"/>
      <c r="DO25" s="166"/>
      <c r="DP25" s="166"/>
      <c r="DQ25" s="166"/>
      <c r="DR25" s="166"/>
      <c r="DS25" s="166"/>
      <c r="DT25" s="166"/>
      <c r="DU25" s="166"/>
      <c r="DV25" s="166"/>
      <c r="DW25" s="166"/>
      <c r="DX25" s="166"/>
      <c r="DY25" s="166"/>
      <c r="DZ25" s="166"/>
      <c r="EA25" s="166"/>
      <c r="EB25" s="166"/>
      <c r="EC25" s="166"/>
      <c r="ED25" s="166"/>
      <c r="EE25" s="166"/>
      <c r="EF25" s="166"/>
      <c r="EG25" s="166"/>
      <c r="EH25" s="166"/>
      <c r="EI25" s="166"/>
      <c r="EJ25" s="166"/>
      <c r="EK25" s="166"/>
      <c r="EL25" s="166"/>
      <c r="EM25" s="166"/>
      <c r="EN25" s="166"/>
      <c r="EO25" s="166"/>
      <c r="EP25" s="166"/>
      <c r="EQ25" s="166"/>
      <c r="ER25" s="166"/>
      <c r="ES25" s="166"/>
      <c r="ET25" s="166"/>
      <c r="EU25" s="166"/>
      <c r="EV25" s="166"/>
      <c r="EW25" s="166"/>
      <c r="EX25" s="166"/>
      <c r="EY25" s="166"/>
      <c r="EZ25" s="166"/>
      <c r="FA25" s="166"/>
      <c r="FB25" s="166"/>
      <c r="FC25" s="166"/>
      <c r="FD25" s="166"/>
      <c r="FE25" s="166"/>
      <c r="FF25" s="166"/>
      <c r="FG25" s="166"/>
      <c r="FH25" s="166"/>
      <c r="FI25" s="166"/>
      <c r="FJ25" s="166"/>
      <c r="FK25" s="166"/>
      <c r="FL25" s="166"/>
      <c r="FM25" s="166"/>
      <c r="FN25" s="166"/>
      <c r="FO25" s="166"/>
      <c r="FP25" s="166"/>
      <c r="FQ25" s="166"/>
      <c r="FR25" s="166"/>
      <c r="FS25" s="166"/>
      <c r="FT25" s="166"/>
      <c r="FU25" s="166"/>
      <c r="FV25" s="166"/>
      <c r="FW25" s="166"/>
      <c r="FX25" s="166"/>
      <c r="FY25" s="166"/>
      <c r="FZ25" s="166"/>
      <c r="GA25" s="166"/>
      <c r="GB25" s="166"/>
      <c r="GC25" s="166"/>
      <c r="GD25" s="166"/>
      <c r="GE25" s="166"/>
      <c r="GF25" s="166"/>
      <c r="GG25" s="166"/>
      <c r="GH25" s="166"/>
      <c r="GI25" s="166"/>
      <c r="GJ25" s="166"/>
      <c r="GK25" s="166"/>
      <c r="GL25" s="166"/>
      <c r="GM25" s="166"/>
      <c r="GN25" s="166"/>
      <c r="GO25" s="166"/>
      <c r="GP25" s="166"/>
      <c r="GQ25" s="166"/>
      <c r="GR25" s="166"/>
      <c r="GS25" s="166"/>
      <c r="GT25" s="166"/>
      <c r="GU25" s="166"/>
      <c r="GV25" s="166"/>
      <c r="GW25" s="166"/>
      <c r="GX25" s="166"/>
      <c r="GY25" s="166"/>
      <c r="GZ25" s="166"/>
      <c r="HA25" s="166"/>
      <c r="HB25" s="166"/>
      <c r="HC25" s="166"/>
      <c r="HD25" s="166"/>
      <c r="HE25" s="166"/>
      <c r="HF25" s="166"/>
      <c r="HG25" s="166"/>
      <c r="HH25" s="166"/>
      <c r="HI25" s="166"/>
      <c r="HJ25" s="166"/>
      <c r="HK25" s="166"/>
      <c r="HL25" s="166"/>
      <c r="HM25" s="166"/>
      <c r="HN25" s="166"/>
      <c r="HO25" s="166"/>
      <c r="HP25" s="166"/>
      <c r="HQ25" s="166"/>
      <c r="HR25" s="166"/>
      <c r="HS25" s="166"/>
      <c r="HT25" s="166"/>
      <c r="HU25" s="166"/>
      <c r="HV25" s="166"/>
      <c r="HW25" s="166"/>
      <c r="HX25" s="166"/>
      <c r="HY25" s="166"/>
      <c r="HZ25" s="166"/>
      <c r="IA25" s="166"/>
      <c r="IB25" s="166"/>
      <c r="IC25" s="166"/>
      <c r="ID25" s="166"/>
      <c r="IE25" s="166"/>
      <c r="IF25" s="166"/>
      <c r="IG25" s="166"/>
      <c r="IH25" s="166"/>
    </row>
    <row r="26" ht="22.5" customHeight="true"/>
  </sheetData>
  <mergeCells count="3">
    <mergeCell ref="A2:D2"/>
    <mergeCell ref="A4:B4"/>
    <mergeCell ref="C4:D4"/>
  </mergeCells>
  <printOptions horizontalCentered="true"/>
  <pageMargins left="0.35" right="0.35" top="0.63" bottom="0.59" header="0.47" footer="0.55"/>
  <pageSetup paperSize="9" scale="85" firstPageNumber="7" orientation="portrait" useFirstPageNumber="true" horizontalDpi="600" verticalDpi="600"/>
  <headerFooter alignWithMargins="0" scaleWithDoc="0">
    <oddFooter>&amp;C&amp;"Arial"&amp;10第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
  <sheetViews>
    <sheetView showGridLines="0" showZeros="0" zoomScale="130" zoomScaleNormal="130" workbookViewId="0">
      <pane xSplit="1" ySplit="5" topLeftCell="B6" activePane="bottomRight" state="frozen"/>
      <selection/>
      <selection pane="topRight"/>
      <selection pane="bottomLeft"/>
      <selection pane="bottomRight" activeCell="A7" sqref="A7"/>
    </sheetView>
  </sheetViews>
  <sheetFormatPr defaultColWidth="9" defaultRowHeight="14.25"/>
  <cols>
    <col min="1" max="1" width="40.875" style="130" customWidth="true"/>
    <col min="2" max="2" width="14" style="130" customWidth="true"/>
    <col min="3" max="7" width="11" style="130" hidden="true" customWidth="true"/>
    <col min="8" max="8" width="13" style="130" hidden="true" customWidth="true"/>
    <col min="9" max="9" width="42.1666666666667" style="130" customWidth="true"/>
    <col min="10" max="10" width="13.1666666666667" style="130" customWidth="true"/>
    <col min="11" max="16" width="11.1666666666667" style="130" hidden="true" customWidth="true"/>
    <col min="17" max="249" width="9" style="130" customWidth="true"/>
    <col min="250" max="16384" width="9" style="127" customWidth="true"/>
  </cols>
  <sheetData>
    <row r="1" s="127" customFormat="true" ht="23.1" customHeight="true" spans="1:249">
      <c r="A1" s="98" t="s">
        <v>243</v>
      </c>
      <c r="B1" s="98"/>
      <c r="C1" s="98"/>
      <c r="D1" s="98"/>
      <c r="E1" s="98"/>
      <c r="F1" s="98"/>
      <c r="G1" s="98"/>
      <c r="H1" s="98"/>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c r="CV1" s="130"/>
      <c r="CW1" s="130"/>
      <c r="CX1" s="130"/>
      <c r="CY1" s="130"/>
      <c r="CZ1" s="130"/>
      <c r="DA1" s="130"/>
      <c r="DB1" s="130"/>
      <c r="DC1" s="130"/>
      <c r="DD1" s="130"/>
      <c r="DE1" s="130"/>
      <c r="DF1" s="130"/>
      <c r="DG1" s="130"/>
      <c r="DH1" s="130"/>
      <c r="DI1" s="130"/>
      <c r="DJ1" s="130"/>
      <c r="DK1" s="130"/>
      <c r="DL1" s="130"/>
      <c r="DM1" s="130"/>
      <c r="DN1" s="130"/>
      <c r="DO1" s="130"/>
      <c r="DP1" s="130"/>
      <c r="DQ1" s="130"/>
      <c r="DR1" s="130"/>
      <c r="DS1" s="130"/>
      <c r="DT1" s="130"/>
      <c r="DU1" s="130"/>
      <c r="DV1" s="130"/>
      <c r="DW1" s="130"/>
      <c r="DX1" s="130"/>
      <c r="DY1" s="130"/>
      <c r="DZ1" s="130"/>
      <c r="EA1" s="130"/>
      <c r="EB1" s="130"/>
      <c r="EC1" s="130"/>
      <c r="ED1" s="130"/>
      <c r="EE1" s="130"/>
      <c r="EF1" s="130"/>
      <c r="EG1" s="130"/>
      <c r="EH1" s="130"/>
      <c r="EI1" s="130"/>
      <c r="EJ1" s="130"/>
      <c r="EK1" s="130"/>
      <c r="EL1" s="130"/>
      <c r="EM1" s="130"/>
      <c r="EN1" s="130"/>
      <c r="EO1" s="130"/>
      <c r="EP1" s="130"/>
      <c r="EQ1" s="130"/>
      <c r="ER1" s="130"/>
      <c r="ES1" s="130"/>
      <c r="ET1" s="130"/>
      <c r="EU1" s="130"/>
      <c r="EV1" s="130"/>
      <c r="EW1" s="130"/>
      <c r="EX1" s="130"/>
      <c r="EY1" s="130"/>
      <c r="EZ1" s="130"/>
      <c r="FA1" s="130"/>
      <c r="FB1" s="130"/>
      <c r="FC1" s="130"/>
      <c r="FD1" s="130"/>
      <c r="FE1" s="130"/>
      <c r="FF1" s="130"/>
      <c r="FG1" s="130"/>
      <c r="FH1" s="130"/>
      <c r="FI1" s="130"/>
      <c r="FJ1" s="130"/>
      <c r="FK1" s="130"/>
      <c r="FL1" s="130"/>
      <c r="FM1" s="130"/>
      <c r="FN1" s="130"/>
      <c r="FO1" s="130"/>
      <c r="FP1" s="130"/>
      <c r="FQ1" s="130"/>
      <c r="FR1" s="130"/>
      <c r="FS1" s="130"/>
      <c r="FT1" s="130"/>
      <c r="FU1" s="130"/>
      <c r="FV1" s="130"/>
      <c r="FW1" s="130"/>
      <c r="FX1" s="130"/>
      <c r="FY1" s="130"/>
      <c r="FZ1" s="130"/>
      <c r="GA1" s="130"/>
      <c r="GB1" s="130"/>
      <c r="GC1" s="130"/>
      <c r="GD1" s="130"/>
      <c r="GE1" s="130"/>
      <c r="GF1" s="130"/>
      <c r="GG1" s="130"/>
      <c r="GH1" s="130"/>
      <c r="GI1" s="130"/>
      <c r="GJ1" s="130"/>
      <c r="GK1" s="130"/>
      <c r="GL1" s="130"/>
      <c r="GM1" s="130"/>
      <c r="GN1" s="130"/>
      <c r="GO1" s="130"/>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c r="HS1" s="130"/>
      <c r="HT1" s="130"/>
      <c r="HU1" s="130"/>
      <c r="HV1" s="130"/>
      <c r="HW1" s="130"/>
      <c r="HX1" s="130"/>
      <c r="HY1" s="130"/>
      <c r="HZ1" s="130"/>
      <c r="IA1" s="130"/>
      <c r="IB1" s="130"/>
      <c r="IC1" s="130"/>
      <c r="ID1" s="130"/>
      <c r="IE1" s="130"/>
      <c r="IF1" s="130"/>
      <c r="IG1" s="130"/>
      <c r="IH1" s="130"/>
      <c r="II1" s="130"/>
      <c r="IJ1" s="130"/>
      <c r="IK1" s="130"/>
      <c r="IL1" s="130"/>
      <c r="IM1" s="130"/>
      <c r="IN1" s="130"/>
      <c r="IO1" s="130"/>
    </row>
    <row r="2" s="127" customFormat="true" ht="30" customHeight="true" spans="1:249">
      <c r="A2" s="131" t="s">
        <v>244</v>
      </c>
      <c r="B2" s="131"/>
      <c r="C2" s="131"/>
      <c r="D2" s="131"/>
      <c r="E2" s="131"/>
      <c r="F2" s="131"/>
      <c r="G2" s="131"/>
      <c r="H2" s="131"/>
      <c r="I2" s="131"/>
      <c r="J2" s="131"/>
      <c r="K2" s="131"/>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row>
    <row r="3" s="127" customFormat="true" ht="26.1" customHeight="true" spans="1:249">
      <c r="A3" s="130"/>
      <c r="B3" s="98"/>
      <c r="C3" s="98"/>
      <c r="D3" s="98"/>
      <c r="E3" s="98"/>
      <c r="F3" s="98"/>
      <c r="G3" s="98"/>
      <c r="H3" s="98"/>
      <c r="I3" s="130"/>
      <c r="J3" s="130" t="s">
        <v>3</v>
      </c>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row>
    <row r="4" s="128" customFormat="true" ht="30.95" customHeight="true" spans="1:16">
      <c r="A4" s="132" t="s">
        <v>245</v>
      </c>
      <c r="B4" s="132"/>
      <c r="C4" s="132"/>
      <c r="D4" s="132"/>
      <c r="E4" s="132"/>
      <c r="F4" s="132"/>
      <c r="G4" s="132"/>
      <c r="H4" s="132"/>
      <c r="I4" s="466" t="s">
        <v>246</v>
      </c>
      <c r="J4" s="467"/>
      <c r="K4" s="468"/>
      <c r="L4" s="469"/>
      <c r="M4" s="469"/>
      <c r="N4" s="469"/>
      <c r="O4" s="469"/>
      <c r="P4" s="469"/>
    </row>
    <row r="5" s="128" customFormat="true" ht="30.95" customHeight="true" spans="1:16">
      <c r="A5" s="132" t="s">
        <v>247</v>
      </c>
      <c r="B5" s="62" t="s">
        <v>5</v>
      </c>
      <c r="C5" s="62" t="s">
        <v>6</v>
      </c>
      <c r="D5" s="62" t="s">
        <v>7</v>
      </c>
      <c r="E5" s="460" t="s">
        <v>8</v>
      </c>
      <c r="F5" s="460" t="s">
        <v>9</v>
      </c>
      <c r="G5" s="461" t="s">
        <v>10</v>
      </c>
      <c r="H5" s="460" t="s">
        <v>248</v>
      </c>
      <c r="I5" s="132" t="s">
        <v>249</v>
      </c>
      <c r="J5" s="62" t="s">
        <v>5</v>
      </c>
      <c r="K5" s="62" t="s">
        <v>6</v>
      </c>
      <c r="L5" s="134" t="s">
        <v>7</v>
      </c>
      <c r="M5" s="470" t="s">
        <v>8</v>
      </c>
      <c r="N5" s="470" t="s">
        <v>9</v>
      </c>
      <c r="O5" s="461" t="s">
        <v>10</v>
      </c>
      <c r="P5" s="470" t="s">
        <v>248</v>
      </c>
    </row>
    <row r="6" s="128" customFormat="true" ht="30.95" customHeight="true" spans="1:16">
      <c r="A6" s="135" t="s">
        <v>250</v>
      </c>
      <c r="B6" s="459">
        <f t="shared" ref="B6:B12" si="0">C6+D6+E6+F6+G6+H6</f>
        <v>39310</v>
      </c>
      <c r="C6" s="136"/>
      <c r="D6" s="136"/>
      <c r="E6" s="136">
        <v>16976</v>
      </c>
      <c r="F6" s="462">
        <v>9489</v>
      </c>
      <c r="G6" s="136"/>
      <c r="H6" s="136">
        <v>12845</v>
      </c>
      <c r="I6" s="135" t="s">
        <v>250</v>
      </c>
      <c r="J6" s="459">
        <f t="shared" ref="J6:J12" si="1">K6+L6+M6+N6+O6+P6</f>
        <v>61288</v>
      </c>
      <c r="K6" s="137"/>
      <c r="L6" s="136"/>
      <c r="M6" s="137">
        <v>24029</v>
      </c>
      <c r="N6" s="471">
        <v>16820</v>
      </c>
      <c r="O6" s="137"/>
      <c r="P6" s="472">
        <v>20439</v>
      </c>
    </row>
    <row r="7" s="128" customFormat="true" ht="30.95" customHeight="true" spans="1:16">
      <c r="A7" s="135" t="s">
        <v>251</v>
      </c>
      <c r="B7" s="459">
        <f t="shared" si="0"/>
        <v>60212</v>
      </c>
      <c r="C7" s="136"/>
      <c r="D7" s="136">
        <v>16315</v>
      </c>
      <c r="E7" s="136">
        <v>17905</v>
      </c>
      <c r="F7" s="462">
        <v>8421</v>
      </c>
      <c r="G7" s="136">
        <v>5927</v>
      </c>
      <c r="H7" s="136">
        <v>11644</v>
      </c>
      <c r="I7" s="135" t="s">
        <v>251</v>
      </c>
      <c r="J7" s="459">
        <f t="shared" si="1"/>
        <v>46353</v>
      </c>
      <c r="K7" s="137"/>
      <c r="L7" s="136">
        <v>12134</v>
      </c>
      <c r="M7" s="137">
        <v>14156</v>
      </c>
      <c r="N7" s="471">
        <v>6709</v>
      </c>
      <c r="O7" s="137">
        <v>4356</v>
      </c>
      <c r="P7" s="472">
        <v>8998</v>
      </c>
    </row>
    <row r="8" s="128" customFormat="true" ht="30.95" customHeight="true" spans="1:16">
      <c r="A8" s="135" t="s">
        <v>252</v>
      </c>
      <c r="B8" s="459">
        <f t="shared" si="0"/>
        <v>157240</v>
      </c>
      <c r="C8" s="136">
        <v>63404</v>
      </c>
      <c r="D8" s="136"/>
      <c r="E8" s="136">
        <v>31395</v>
      </c>
      <c r="F8" s="462">
        <v>24146</v>
      </c>
      <c r="G8" s="136">
        <v>12033</v>
      </c>
      <c r="H8" s="136">
        <v>26262</v>
      </c>
      <c r="I8" s="135" t="s">
        <v>252</v>
      </c>
      <c r="J8" s="459">
        <f t="shared" si="1"/>
        <v>156998</v>
      </c>
      <c r="K8" s="137">
        <v>63315</v>
      </c>
      <c r="L8" s="136"/>
      <c r="M8" s="137">
        <v>35559</v>
      </c>
      <c r="N8" s="471">
        <v>24146</v>
      </c>
      <c r="O8" s="137">
        <v>12013</v>
      </c>
      <c r="P8" s="472">
        <v>21965</v>
      </c>
    </row>
    <row r="9" s="128" customFormat="true" ht="30.95" customHeight="true" spans="1:16">
      <c r="A9" s="135" t="s">
        <v>253</v>
      </c>
      <c r="B9" s="459">
        <f t="shared" si="0"/>
        <v>83863</v>
      </c>
      <c r="C9" s="136">
        <v>83863</v>
      </c>
      <c r="D9" s="136"/>
      <c r="E9" s="136"/>
      <c r="F9" s="462"/>
      <c r="G9" s="136"/>
      <c r="H9" s="136">
        <v>0</v>
      </c>
      <c r="I9" s="135" t="s">
        <v>253</v>
      </c>
      <c r="J9" s="459">
        <f t="shared" si="1"/>
        <v>62956</v>
      </c>
      <c r="K9" s="137">
        <v>62956</v>
      </c>
      <c r="L9" s="136"/>
      <c r="M9" s="137"/>
      <c r="N9" s="471"/>
      <c r="O9" s="137"/>
      <c r="P9" s="472">
        <v>0</v>
      </c>
    </row>
    <row r="10" s="128" customFormat="true" ht="30.95" customHeight="true" spans="1:16">
      <c r="A10" s="135" t="s">
        <v>254</v>
      </c>
      <c r="B10" s="459">
        <f t="shared" si="0"/>
        <v>127711</v>
      </c>
      <c r="C10" s="136">
        <v>127711</v>
      </c>
      <c r="D10" s="136"/>
      <c r="E10" s="136"/>
      <c r="F10" s="462"/>
      <c r="G10" s="136"/>
      <c r="H10" s="136">
        <v>0</v>
      </c>
      <c r="I10" s="135" t="s">
        <v>255</v>
      </c>
      <c r="J10" s="459">
        <f t="shared" si="1"/>
        <v>109544</v>
      </c>
      <c r="K10" s="137">
        <v>109544</v>
      </c>
      <c r="L10" s="136"/>
      <c r="M10" s="137"/>
      <c r="N10" s="471"/>
      <c r="O10" s="137"/>
      <c r="P10" s="472">
        <v>0</v>
      </c>
    </row>
    <row r="11" s="128" customFormat="true" ht="30.95" customHeight="true" spans="1:16">
      <c r="A11" s="135" t="s">
        <v>256</v>
      </c>
      <c r="B11" s="459">
        <f t="shared" si="0"/>
        <v>9244</v>
      </c>
      <c r="C11" s="136">
        <v>7181</v>
      </c>
      <c r="D11" s="136"/>
      <c r="E11" s="136">
        <v>706</v>
      </c>
      <c r="F11" s="462">
        <v>355</v>
      </c>
      <c r="G11" s="136">
        <v>546</v>
      </c>
      <c r="H11" s="136">
        <v>456</v>
      </c>
      <c r="I11" s="135" t="s">
        <v>256</v>
      </c>
      <c r="J11" s="459">
        <f t="shared" si="1"/>
        <v>9997</v>
      </c>
      <c r="K11" s="137">
        <v>7181</v>
      </c>
      <c r="L11" s="136"/>
      <c r="M11" s="137">
        <v>583</v>
      </c>
      <c r="N11" s="471">
        <v>554</v>
      </c>
      <c r="O11" s="137">
        <v>300</v>
      </c>
      <c r="P11" s="472">
        <v>1379</v>
      </c>
    </row>
    <row r="12" s="128" customFormat="true" ht="30.95" customHeight="true" spans="1:16">
      <c r="A12" s="135" t="s">
        <v>257</v>
      </c>
      <c r="B12" s="459">
        <f t="shared" si="0"/>
        <v>7025</v>
      </c>
      <c r="C12" s="136"/>
      <c r="D12" s="136">
        <v>3467</v>
      </c>
      <c r="E12" s="136">
        <v>1184</v>
      </c>
      <c r="F12" s="462">
        <v>571</v>
      </c>
      <c r="G12" s="136">
        <v>602</v>
      </c>
      <c r="H12" s="136">
        <v>1201</v>
      </c>
      <c r="I12" s="135" t="s">
        <v>257</v>
      </c>
      <c r="J12" s="459">
        <f t="shared" si="1"/>
        <v>4965</v>
      </c>
      <c r="K12" s="137"/>
      <c r="L12" s="136">
        <v>2892</v>
      </c>
      <c r="M12" s="137">
        <v>577</v>
      </c>
      <c r="N12" s="471">
        <v>441</v>
      </c>
      <c r="O12" s="137">
        <v>221</v>
      </c>
      <c r="P12" s="472">
        <v>834</v>
      </c>
    </row>
    <row r="13" s="128" customFormat="true" ht="30.95" customHeight="true" spans="1:16">
      <c r="A13" s="138"/>
      <c r="B13" s="459"/>
      <c r="C13" s="136"/>
      <c r="D13" s="136"/>
      <c r="E13" s="136"/>
      <c r="F13" s="462"/>
      <c r="G13" s="136"/>
      <c r="H13" s="136"/>
      <c r="I13" s="138"/>
      <c r="J13" s="459"/>
      <c r="K13" s="137"/>
      <c r="L13" s="136"/>
      <c r="M13" s="137"/>
      <c r="N13" s="471"/>
      <c r="O13" s="137"/>
      <c r="P13" s="472"/>
    </row>
    <row r="14" s="128" customFormat="true" ht="30.95" customHeight="true" spans="1:16">
      <c r="A14" s="139"/>
      <c r="B14" s="459"/>
      <c r="C14" s="136"/>
      <c r="D14" s="136"/>
      <c r="E14" s="136"/>
      <c r="F14" s="462"/>
      <c r="G14" s="136"/>
      <c r="H14" s="136"/>
      <c r="I14" s="139"/>
      <c r="J14" s="459"/>
      <c r="K14" s="137"/>
      <c r="L14" s="136"/>
      <c r="M14" s="137"/>
      <c r="N14" s="471"/>
      <c r="O14" s="137"/>
      <c r="P14" s="472"/>
    </row>
    <row r="15" s="128" customFormat="true" ht="30.95" customHeight="true" spans="1:16">
      <c r="A15" s="140"/>
      <c r="B15" s="459"/>
      <c r="C15" s="136"/>
      <c r="D15" s="136"/>
      <c r="E15" s="463"/>
      <c r="F15" s="462"/>
      <c r="G15" s="463"/>
      <c r="H15" s="136"/>
      <c r="I15" s="140"/>
      <c r="J15" s="459"/>
      <c r="K15" s="137"/>
      <c r="L15" s="136"/>
      <c r="M15" s="473"/>
      <c r="N15" s="471"/>
      <c r="O15" s="473"/>
      <c r="P15" s="472"/>
    </row>
    <row r="16" s="128" customFormat="true" ht="30.95" customHeight="true" spans="1:16">
      <c r="A16" s="139"/>
      <c r="B16" s="459"/>
      <c r="C16" s="136"/>
      <c r="D16" s="136"/>
      <c r="E16" s="464"/>
      <c r="F16" s="465"/>
      <c r="G16" s="464"/>
      <c r="H16" s="136"/>
      <c r="I16" s="139"/>
      <c r="J16" s="459"/>
      <c r="K16" s="137"/>
      <c r="L16" s="136"/>
      <c r="M16" s="474"/>
      <c r="N16" s="475"/>
      <c r="O16" s="474"/>
      <c r="P16" s="472"/>
    </row>
    <row r="17" s="129" customFormat="true" ht="30.95" customHeight="true" spans="1:256">
      <c r="A17" s="132" t="s">
        <v>203</v>
      </c>
      <c r="B17" s="141">
        <f>SUM(B6:B16)</f>
        <v>484605</v>
      </c>
      <c r="C17" s="141">
        <f>SUM(C6:C16)</f>
        <v>282159</v>
      </c>
      <c r="D17" s="141">
        <v>19782</v>
      </c>
      <c r="E17" s="141">
        <v>68166</v>
      </c>
      <c r="F17" s="141">
        <v>42982</v>
      </c>
      <c r="G17" s="141">
        <v>19108</v>
      </c>
      <c r="H17" s="141">
        <v>52408</v>
      </c>
      <c r="I17" s="132" t="s">
        <v>204</v>
      </c>
      <c r="J17" s="141">
        <f>SUM(J6:J16)</f>
        <v>452101</v>
      </c>
      <c r="K17" s="141">
        <f>SUM(K6:K16)</f>
        <v>242996</v>
      </c>
      <c r="L17" s="141">
        <v>15026</v>
      </c>
      <c r="M17" s="141">
        <v>74904</v>
      </c>
      <c r="N17" s="141">
        <v>48670</v>
      </c>
      <c r="O17" s="141">
        <v>16890</v>
      </c>
      <c r="P17" s="141">
        <v>53615</v>
      </c>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c r="GT17" s="144"/>
      <c r="GU17" s="144"/>
      <c r="GV17" s="144"/>
      <c r="GW17" s="144"/>
      <c r="GX17" s="144"/>
      <c r="GY17" s="144"/>
      <c r="GZ17" s="144"/>
      <c r="HA17" s="144"/>
      <c r="HB17" s="144"/>
      <c r="HC17" s="144"/>
      <c r="HD17" s="144"/>
      <c r="HE17" s="144"/>
      <c r="HF17" s="144"/>
      <c r="HG17" s="144"/>
      <c r="HH17" s="144"/>
      <c r="HI17" s="144"/>
      <c r="HJ17" s="144"/>
      <c r="HK17" s="144"/>
      <c r="HL17" s="144"/>
      <c r="HM17" s="144"/>
      <c r="HN17" s="144"/>
      <c r="HO17" s="144"/>
      <c r="HP17" s="144"/>
      <c r="HQ17" s="144"/>
      <c r="HR17" s="144"/>
      <c r="HS17" s="144"/>
      <c r="HT17" s="144"/>
      <c r="HU17" s="144"/>
      <c r="HV17" s="144"/>
      <c r="HW17" s="144"/>
      <c r="HX17" s="144"/>
      <c r="HY17" s="144"/>
      <c r="HZ17" s="144"/>
      <c r="IA17" s="144"/>
      <c r="IB17" s="144"/>
      <c r="IC17" s="144"/>
      <c r="ID17" s="144"/>
      <c r="IE17" s="144"/>
      <c r="IF17" s="144"/>
      <c r="IG17" s="144"/>
      <c r="IH17" s="144"/>
      <c r="II17" s="144"/>
      <c r="IJ17" s="144"/>
      <c r="IK17" s="144"/>
      <c r="IL17" s="144"/>
      <c r="IM17" s="144"/>
      <c r="IN17" s="144"/>
      <c r="IO17" s="144"/>
      <c r="IP17" s="145"/>
      <c r="IQ17" s="145"/>
      <c r="IR17" s="145"/>
      <c r="IS17" s="145"/>
      <c r="IT17" s="145"/>
      <c r="IU17" s="145"/>
      <c r="IV17" s="145"/>
    </row>
    <row r="18" s="128" customFormat="true" ht="30.95" customHeight="true" spans="1:16">
      <c r="A18" s="143" t="s">
        <v>258</v>
      </c>
      <c r="B18" s="459">
        <f>C18+D18+E18+F18+G18+H18</f>
        <v>495751</v>
      </c>
      <c r="C18" s="136">
        <f>622173-282159</f>
        <v>340014</v>
      </c>
      <c r="D18" s="136">
        <v>50517</v>
      </c>
      <c r="E18" s="136">
        <v>43045</v>
      </c>
      <c r="F18" s="462">
        <v>16546</v>
      </c>
      <c r="G18" s="136">
        <v>15679</v>
      </c>
      <c r="H18" s="136">
        <v>29950</v>
      </c>
      <c r="I18" s="139" t="s">
        <v>259</v>
      </c>
      <c r="J18" s="459">
        <f>K18+L18+M18+N18+O18+P18</f>
        <v>538979</v>
      </c>
      <c r="K18" s="137">
        <f>369231</f>
        <v>369231</v>
      </c>
      <c r="L18" s="136">
        <v>54698</v>
      </c>
      <c r="M18" s="137">
        <v>42630</v>
      </c>
      <c r="N18" s="471">
        <v>18258</v>
      </c>
      <c r="O18" s="137">
        <v>17269</v>
      </c>
      <c r="P18" s="472">
        <v>36893</v>
      </c>
    </row>
    <row r="19" s="128" customFormat="true" ht="30.95" customHeight="true" spans="1:16">
      <c r="A19" s="143" t="s">
        <v>260</v>
      </c>
      <c r="B19" s="459">
        <f>C19+D19+E19+F19+G19+H19</f>
        <v>68548</v>
      </c>
      <c r="C19" s="136"/>
      <c r="D19" s="136">
        <v>2892</v>
      </c>
      <c r="E19" s="136">
        <v>25189</v>
      </c>
      <c r="F19" s="462">
        <v>17815</v>
      </c>
      <c r="G19" s="136"/>
      <c r="H19" s="136">
        <v>22652</v>
      </c>
      <c r="I19" s="143" t="s">
        <v>261</v>
      </c>
      <c r="J19" s="459">
        <f>K19+L19+M19+N19+O19+P19</f>
        <v>57824</v>
      </c>
      <c r="K19" s="137">
        <f>1490+8456</f>
        <v>9946</v>
      </c>
      <c r="L19" s="136">
        <v>3467</v>
      </c>
      <c r="M19" s="473">
        <v>18866</v>
      </c>
      <c r="N19" s="471">
        <v>10415</v>
      </c>
      <c r="O19" s="473">
        <v>628</v>
      </c>
      <c r="P19" s="472">
        <v>14502</v>
      </c>
    </row>
    <row r="20" s="129" customFormat="true" ht="30.95" customHeight="true" spans="1:256">
      <c r="A20" s="132" t="s">
        <v>67</v>
      </c>
      <c r="B20" s="141">
        <f>B17+B18+B19</f>
        <v>1048904</v>
      </c>
      <c r="C20" s="141">
        <f>C17+C18+C19</f>
        <v>622173</v>
      </c>
      <c r="D20" s="141">
        <v>73191</v>
      </c>
      <c r="E20" s="141">
        <v>136400</v>
      </c>
      <c r="F20" s="141">
        <v>77343</v>
      </c>
      <c r="G20" s="141">
        <v>34787</v>
      </c>
      <c r="H20" s="141">
        <v>105010</v>
      </c>
      <c r="I20" s="132" t="s">
        <v>68</v>
      </c>
      <c r="J20" s="141">
        <f>J17+J18+J19</f>
        <v>1048904</v>
      </c>
      <c r="K20" s="141">
        <f>K17+K18+K19</f>
        <v>622173</v>
      </c>
      <c r="L20" s="141">
        <v>73191</v>
      </c>
      <c r="M20" s="141">
        <v>136400</v>
      </c>
      <c r="N20" s="141">
        <v>77343</v>
      </c>
      <c r="O20" s="141">
        <v>34787</v>
      </c>
      <c r="P20" s="141">
        <v>105010</v>
      </c>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c r="FS20" s="144"/>
      <c r="FT20" s="144"/>
      <c r="FU20" s="144"/>
      <c r="FV20" s="144"/>
      <c r="FW20" s="144"/>
      <c r="FX20" s="144"/>
      <c r="FY20" s="144"/>
      <c r="FZ20" s="144"/>
      <c r="GA20" s="144"/>
      <c r="GB20" s="144"/>
      <c r="GC20" s="144"/>
      <c r="GD20" s="144"/>
      <c r="GE20" s="144"/>
      <c r="GF20" s="144"/>
      <c r="GG20" s="144"/>
      <c r="GH20" s="144"/>
      <c r="GI20" s="144"/>
      <c r="GJ20" s="144"/>
      <c r="GK20" s="144"/>
      <c r="GL20" s="144"/>
      <c r="GM20" s="144"/>
      <c r="GN20" s="144"/>
      <c r="GO20" s="144"/>
      <c r="GP20" s="144"/>
      <c r="GQ20" s="144"/>
      <c r="GR20" s="144"/>
      <c r="GS20" s="144"/>
      <c r="GT20" s="144"/>
      <c r="GU20" s="144"/>
      <c r="GV20" s="144"/>
      <c r="GW20" s="144"/>
      <c r="GX20" s="144"/>
      <c r="GY20" s="144"/>
      <c r="GZ20" s="144"/>
      <c r="HA20" s="144"/>
      <c r="HB20" s="144"/>
      <c r="HC20" s="144"/>
      <c r="HD20" s="144"/>
      <c r="HE20" s="144"/>
      <c r="HF20" s="144"/>
      <c r="HG20" s="144"/>
      <c r="HH20" s="144"/>
      <c r="HI20" s="144"/>
      <c r="HJ20" s="144"/>
      <c r="HK20" s="144"/>
      <c r="HL20" s="144"/>
      <c r="HM20" s="144"/>
      <c r="HN20" s="144"/>
      <c r="HO20" s="144"/>
      <c r="HP20" s="144"/>
      <c r="HQ20" s="144"/>
      <c r="HR20" s="144"/>
      <c r="HS20" s="144"/>
      <c r="HT20" s="144"/>
      <c r="HU20" s="144"/>
      <c r="HV20" s="144"/>
      <c r="HW20" s="144"/>
      <c r="HX20" s="144"/>
      <c r="HY20" s="144"/>
      <c r="HZ20" s="144"/>
      <c r="IA20" s="144"/>
      <c r="IB20" s="144"/>
      <c r="IC20" s="144"/>
      <c r="ID20" s="144"/>
      <c r="IE20" s="144"/>
      <c r="IF20" s="144"/>
      <c r="IG20" s="144"/>
      <c r="IH20" s="144"/>
      <c r="II20" s="144"/>
      <c r="IJ20" s="144"/>
      <c r="IK20" s="144"/>
      <c r="IL20" s="144"/>
      <c r="IM20" s="144"/>
      <c r="IN20" s="144"/>
      <c r="IO20" s="144"/>
      <c r="IP20" s="145"/>
      <c r="IQ20" s="145"/>
      <c r="IR20" s="145"/>
      <c r="IS20" s="145"/>
      <c r="IT20" s="145"/>
      <c r="IU20" s="145"/>
      <c r="IV20" s="145"/>
    </row>
    <row r="21" ht="21" customHeight="true"/>
  </sheetData>
  <mergeCells count="3">
    <mergeCell ref="A2:K2"/>
    <mergeCell ref="A4:C4"/>
    <mergeCell ref="I4:J4"/>
  </mergeCells>
  <printOptions horizontalCentered="true"/>
  <pageMargins left="0.35" right="0.35" top="0.51" bottom="0.59" header="0.47" footer="0.55"/>
  <pageSetup paperSize="9" scale="50" firstPageNumber="14" orientation="landscape" useFirstPageNumber="true" horizontalDpi="600" verticalDpi="600"/>
  <headerFooter alignWithMargins="0" scaleWithDoc="0">
    <oddFooter>&amp;C&amp;"Arial"&amp;10第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4"/>
  <sheetViews>
    <sheetView showGridLines="0" showZeros="0" zoomScale="130" zoomScaleNormal="130" workbookViewId="0">
      <pane ySplit="5" topLeftCell="A24" activePane="bottomLeft" state="frozen"/>
      <selection/>
      <selection pane="bottomLeft" activeCell="D27" sqref="D27"/>
    </sheetView>
  </sheetViews>
  <sheetFormatPr defaultColWidth="9" defaultRowHeight="13.5" outlineLevelCol="6"/>
  <cols>
    <col min="1" max="1" width="9" style="181"/>
    <col min="2" max="2" width="32.1166666666667" style="181" customWidth="true"/>
    <col min="3" max="4" width="19.8833333333333" style="184" customWidth="true"/>
    <col min="5" max="5" width="18.375" style="184" customWidth="true"/>
    <col min="6" max="7" width="19.8833333333333" style="442" customWidth="true"/>
    <col min="8" max="16384" width="9" style="181"/>
  </cols>
  <sheetData>
    <row r="1" ht="18" customHeight="true" spans="1:2">
      <c r="A1" s="185" t="s">
        <v>262</v>
      </c>
      <c r="B1" s="443"/>
    </row>
    <row r="2" s="182" customFormat="true" ht="22.5" spans="1:7">
      <c r="A2" s="186" t="s">
        <v>263</v>
      </c>
      <c r="B2" s="186"/>
      <c r="C2" s="187"/>
      <c r="D2" s="187"/>
      <c r="E2" s="187"/>
      <c r="F2" s="451"/>
      <c r="G2" s="451"/>
    </row>
    <row r="3" ht="20.25" customHeight="true" spans="7:7">
      <c r="G3" s="452" t="s">
        <v>3</v>
      </c>
    </row>
    <row r="4" ht="31.5" customHeight="true" spans="1:7">
      <c r="A4" s="444" t="s">
        <v>264</v>
      </c>
      <c r="B4" s="445"/>
      <c r="C4" s="189" t="s">
        <v>265</v>
      </c>
      <c r="D4" s="189" t="s">
        <v>266</v>
      </c>
      <c r="E4" s="453" t="s">
        <v>267</v>
      </c>
      <c r="F4" s="454"/>
      <c r="G4" s="455"/>
    </row>
    <row r="5" ht="34" customHeight="true" spans="1:7">
      <c r="A5" s="209" t="s">
        <v>268</v>
      </c>
      <c r="B5" s="209" t="s">
        <v>269</v>
      </c>
      <c r="C5" s="191"/>
      <c r="D5" s="191"/>
      <c r="E5" s="211" t="s">
        <v>270</v>
      </c>
      <c r="F5" s="213" t="s">
        <v>271</v>
      </c>
      <c r="G5" s="213" t="s">
        <v>272</v>
      </c>
    </row>
    <row r="6" s="183" customFormat="true" ht="20" customHeight="true" spans="1:7">
      <c r="A6" s="314">
        <v>101</v>
      </c>
      <c r="B6" s="225" t="s">
        <v>273</v>
      </c>
      <c r="C6" s="446">
        <f>SUM(C7:C22)</f>
        <v>35500</v>
      </c>
      <c r="D6" s="446">
        <f>SUM(D7:D22)</f>
        <v>39188</v>
      </c>
      <c r="E6" s="446">
        <f>SUM(E7:E22)</f>
        <v>41200</v>
      </c>
      <c r="F6" s="456">
        <f t="shared" ref="F6:F33" si="0">IFERROR(E6/C6,0)</f>
        <v>1.16056338028169</v>
      </c>
      <c r="G6" s="457">
        <f t="shared" ref="G6:G33" si="1">IFERROR(E6/D6,0)</f>
        <v>1.05134224762682</v>
      </c>
    </row>
    <row r="7" ht="20" customHeight="true" spans="1:7">
      <c r="A7" s="196">
        <v>10101</v>
      </c>
      <c r="B7" s="198" t="s">
        <v>274</v>
      </c>
      <c r="C7" s="447">
        <v>9850</v>
      </c>
      <c r="D7" s="448">
        <v>13151</v>
      </c>
      <c r="E7" s="448">
        <v>13719</v>
      </c>
      <c r="F7" s="458">
        <f t="shared" si="0"/>
        <v>1.39279187817259</v>
      </c>
      <c r="G7" s="458">
        <f t="shared" si="1"/>
        <v>1.04319063189111</v>
      </c>
    </row>
    <row r="8" ht="20" customHeight="true" spans="1:7">
      <c r="A8" s="196">
        <v>10104</v>
      </c>
      <c r="B8" s="198" t="s">
        <v>275</v>
      </c>
      <c r="C8" s="447">
        <v>3300</v>
      </c>
      <c r="D8" s="448">
        <v>3432</v>
      </c>
      <c r="E8" s="448">
        <v>3524</v>
      </c>
      <c r="F8" s="458">
        <f t="shared" si="0"/>
        <v>1.06787878787879</v>
      </c>
      <c r="G8" s="458">
        <f t="shared" si="1"/>
        <v>1.02680652680653</v>
      </c>
    </row>
    <row r="9" ht="20" customHeight="true" spans="1:7">
      <c r="A9" s="196">
        <v>10105</v>
      </c>
      <c r="B9" s="198" t="s">
        <v>276</v>
      </c>
      <c r="C9" s="447"/>
      <c r="D9" s="448"/>
      <c r="E9" s="448"/>
      <c r="F9" s="458">
        <f t="shared" si="0"/>
        <v>0</v>
      </c>
      <c r="G9" s="458">
        <f t="shared" si="1"/>
        <v>0</v>
      </c>
    </row>
    <row r="10" ht="20" customHeight="true" spans="1:7">
      <c r="A10" s="196">
        <v>10106</v>
      </c>
      <c r="B10" s="198" t="s">
        <v>277</v>
      </c>
      <c r="C10" s="447">
        <v>1200</v>
      </c>
      <c r="D10" s="448">
        <v>1452</v>
      </c>
      <c r="E10" s="448">
        <v>1458</v>
      </c>
      <c r="F10" s="458">
        <f t="shared" si="0"/>
        <v>1.215</v>
      </c>
      <c r="G10" s="458">
        <f t="shared" si="1"/>
        <v>1.00413223140496</v>
      </c>
    </row>
    <row r="11" ht="20" customHeight="true" spans="1:7">
      <c r="A11" s="196">
        <v>10107</v>
      </c>
      <c r="B11" s="198" t="s">
        <v>278</v>
      </c>
      <c r="C11" s="447"/>
      <c r="D11" s="448"/>
      <c r="E11" s="448"/>
      <c r="F11" s="458">
        <f t="shared" si="0"/>
        <v>0</v>
      </c>
      <c r="G11" s="458">
        <f t="shared" si="1"/>
        <v>0</v>
      </c>
    </row>
    <row r="12" ht="20" customHeight="true" spans="1:7">
      <c r="A12" s="196">
        <v>10109</v>
      </c>
      <c r="B12" s="198" t="s">
        <v>279</v>
      </c>
      <c r="C12" s="447">
        <v>4500</v>
      </c>
      <c r="D12" s="448">
        <v>4624</v>
      </c>
      <c r="E12" s="448">
        <v>4584</v>
      </c>
      <c r="F12" s="458">
        <f t="shared" si="0"/>
        <v>1.01866666666667</v>
      </c>
      <c r="G12" s="458">
        <f t="shared" si="1"/>
        <v>0.991349480968858</v>
      </c>
    </row>
    <row r="13" ht="20" customHeight="true" spans="1:7">
      <c r="A13" s="196">
        <v>10110</v>
      </c>
      <c r="B13" s="198" t="s">
        <v>280</v>
      </c>
      <c r="C13" s="447">
        <v>2700</v>
      </c>
      <c r="D13" s="448">
        <v>2520</v>
      </c>
      <c r="E13" s="448">
        <v>2509</v>
      </c>
      <c r="F13" s="458">
        <f t="shared" si="0"/>
        <v>0.929259259259259</v>
      </c>
      <c r="G13" s="458">
        <f t="shared" si="1"/>
        <v>0.995634920634921</v>
      </c>
    </row>
    <row r="14" ht="20" customHeight="true" spans="1:7">
      <c r="A14" s="196">
        <v>10111</v>
      </c>
      <c r="B14" s="198" t="s">
        <v>281</v>
      </c>
      <c r="C14" s="447">
        <v>700</v>
      </c>
      <c r="D14" s="448">
        <v>694</v>
      </c>
      <c r="E14" s="448">
        <v>698</v>
      </c>
      <c r="F14" s="458">
        <f t="shared" si="0"/>
        <v>0.997142857142857</v>
      </c>
      <c r="G14" s="458">
        <f t="shared" si="1"/>
        <v>1.00576368876081</v>
      </c>
    </row>
    <row r="15" ht="20" customHeight="true" spans="1:7">
      <c r="A15" s="196">
        <v>10112</v>
      </c>
      <c r="B15" s="198" t="s">
        <v>282</v>
      </c>
      <c r="C15" s="447">
        <v>2000</v>
      </c>
      <c r="D15" s="448">
        <v>1317</v>
      </c>
      <c r="E15" s="448">
        <v>1504</v>
      </c>
      <c r="F15" s="458">
        <f t="shared" si="0"/>
        <v>0.752</v>
      </c>
      <c r="G15" s="458">
        <f t="shared" si="1"/>
        <v>1.1419893697798</v>
      </c>
    </row>
    <row r="16" ht="20" customHeight="true" spans="1:7">
      <c r="A16" s="196">
        <v>10113</v>
      </c>
      <c r="B16" s="198" t="s">
        <v>283</v>
      </c>
      <c r="C16" s="447">
        <v>2600</v>
      </c>
      <c r="D16" s="448">
        <v>2387</v>
      </c>
      <c r="E16" s="448">
        <v>2687</v>
      </c>
      <c r="F16" s="458">
        <f t="shared" si="0"/>
        <v>1.03346153846154</v>
      </c>
      <c r="G16" s="458">
        <f t="shared" si="1"/>
        <v>1.12568077084206</v>
      </c>
    </row>
    <row r="17" ht="20" customHeight="true" spans="1:7">
      <c r="A17" s="196">
        <v>10114</v>
      </c>
      <c r="B17" s="198" t="s">
        <v>284</v>
      </c>
      <c r="C17" s="447">
        <v>200</v>
      </c>
      <c r="D17" s="448">
        <v>263</v>
      </c>
      <c r="E17" s="448">
        <v>262</v>
      </c>
      <c r="F17" s="458">
        <f t="shared" si="0"/>
        <v>1.31</v>
      </c>
      <c r="G17" s="458">
        <f t="shared" si="1"/>
        <v>0.996197718631179</v>
      </c>
    </row>
    <row r="18" ht="20" customHeight="true" spans="1:7">
      <c r="A18" s="196">
        <v>10118</v>
      </c>
      <c r="B18" s="198" t="s">
        <v>285</v>
      </c>
      <c r="C18" s="447">
        <v>900</v>
      </c>
      <c r="D18" s="448">
        <v>970</v>
      </c>
      <c r="E18" s="448">
        <v>1025</v>
      </c>
      <c r="F18" s="458">
        <f t="shared" si="0"/>
        <v>1.13888888888889</v>
      </c>
      <c r="G18" s="458">
        <f t="shared" si="1"/>
        <v>1.05670103092784</v>
      </c>
    </row>
    <row r="19" ht="20" customHeight="true" spans="1:7">
      <c r="A19" s="196">
        <v>10119</v>
      </c>
      <c r="B19" s="198" t="s">
        <v>286</v>
      </c>
      <c r="C19" s="447">
        <v>7500</v>
      </c>
      <c r="D19" s="448">
        <v>8263</v>
      </c>
      <c r="E19" s="448">
        <f>9115+49</f>
        <v>9164</v>
      </c>
      <c r="F19" s="458">
        <f t="shared" si="0"/>
        <v>1.22186666666667</v>
      </c>
      <c r="G19" s="458">
        <f t="shared" si="1"/>
        <v>1.10904030013312</v>
      </c>
    </row>
    <row r="20" ht="20" customHeight="true" spans="1:7">
      <c r="A20" s="196">
        <v>10120</v>
      </c>
      <c r="B20" s="198" t="s">
        <v>287</v>
      </c>
      <c r="C20" s="447"/>
      <c r="D20" s="448"/>
      <c r="E20" s="448"/>
      <c r="F20" s="458">
        <f t="shared" si="0"/>
        <v>0</v>
      </c>
      <c r="G20" s="458">
        <f t="shared" si="1"/>
        <v>0</v>
      </c>
    </row>
    <row r="21" ht="20" customHeight="true" spans="1:7">
      <c r="A21" s="196">
        <v>10121</v>
      </c>
      <c r="B21" s="198" t="s">
        <v>288</v>
      </c>
      <c r="C21" s="447">
        <v>50</v>
      </c>
      <c r="D21" s="448">
        <v>66</v>
      </c>
      <c r="E21" s="448">
        <v>66</v>
      </c>
      <c r="F21" s="458">
        <f t="shared" si="0"/>
        <v>1.32</v>
      </c>
      <c r="G21" s="458">
        <f t="shared" si="1"/>
        <v>1</v>
      </c>
    </row>
    <row r="22" ht="20" customHeight="true" spans="1:7">
      <c r="A22" s="196">
        <v>10199</v>
      </c>
      <c r="B22" s="198" t="s">
        <v>289</v>
      </c>
      <c r="C22" s="447"/>
      <c r="D22" s="448">
        <v>49</v>
      </c>
      <c r="E22" s="448"/>
      <c r="F22" s="458">
        <f t="shared" si="0"/>
        <v>0</v>
      </c>
      <c r="G22" s="458">
        <f t="shared" si="1"/>
        <v>0</v>
      </c>
    </row>
    <row r="23" s="183" customFormat="true" ht="20" customHeight="true" spans="1:7">
      <c r="A23" s="314">
        <v>103</v>
      </c>
      <c r="B23" s="225" t="s">
        <v>290</v>
      </c>
      <c r="C23" s="446">
        <f>SUM(C24:C32)</f>
        <v>14000</v>
      </c>
      <c r="D23" s="446">
        <f>SUM(D24:D32)</f>
        <v>53881</v>
      </c>
      <c r="E23" s="446">
        <f>SUM(E24:E32)</f>
        <v>16000</v>
      </c>
      <c r="F23" s="457">
        <f t="shared" si="0"/>
        <v>1.14285714285714</v>
      </c>
      <c r="G23" s="457">
        <f t="shared" si="1"/>
        <v>0.296950687626436</v>
      </c>
    </row>
    <row r="24" ht="20" customHeight="true" spans="1:7">
      <c r="A24" s="196">
        <v>10302</v>
      </c>
      <c r="B24" s="198" t="s">
        <v>291</v>
      </c>
      <c r="C24" s="447">
        <v>4000</v>
      </c>
      <c r="D24" s="448">
        <v>2059</v>
      </c>
      <c r="E24" s="448">
        <v>2463</v>
      </c>
      <c r="F24" s="458">
        <f t="shared" si="0"/>
        <v>0.61575</v>
      </c>
      <c r="G24" s="458">
        <f t="shared" si="1"/>
        <v>1.19621175327829</v>
      </c>
    </row>
    <row r="25" ht="20" customHeight="true" spans="1:7">
      <c r="A25" s="196">
        <v>10304</v>
      </c>
      <c r="B25" s="198" t="s">
        <v>292</v>
      </c>
      <c r="C25" s="447">
        <v>1000</v>
      </c>
      <c r="D25" s="448">
        <v>3109</v>
      </c>
      <c r="E25" s="448">
        <v>3088</v>
      </c>
      <c r="F25" s="458">
        <f t="shared" si="0"/>
        <v>3.088</v>
      </c>
      <c r="G25" s="458">
        <f t="shared" si="1"/>
        <v>0.993245416532647</v>
      </c>
    </row>
    <row r="26" ht="20" customHeight="true" spans="1:7">
      <c r="A26" s="196">
        <v>10305</v>
      </c>
      <c r="B26" s="198" t="s">
        <v>293</v>
      </c>
      <c r="C26" s="447">
        <v>2500</v>
      </c>
      <c r="D26" s="448">
        <v>3428</v>
      </c>
      <c r="E26" s="448">
        <v>3077</v>
      </c>
      <c r="F26" s="458">
        <f t="shared" si="0"/>
        <v>1.2308</v>
      </c>
      <c r="G26" s="458">
        <f t="shared" si="1"/>
        <v>0.897607934655776</v>
      </c>
    </row>
    <row r="27" ht="20" customHeight="true" spans="1:7">
      <c r="A27" s="196">
        <v>10306</v>
      </c>
      <c r="B27" s="198" t="s">
        <v>294</v>
      </c>
      <c r="C27" s="447"/>
      <c r="D27" s="448"/>
      <c r="E27" s="448"/>
      <c r="F27" s="458">
        <f t="shared" si="0"/>
        <v>0</v>
      </c>
      <c r="G27" s="458">
        <f t="shared" si="1"/>
        <v>0</v>
      </c>
    </row>
    <row r="28" ht="20" customHeight="true" spans="1:7">
      <c r="A28" s="196">
        <v>10307</v>
      </c>
      <c r="B28" s="198" t="s">
        <v>295</v>
      </c>
      <c r="C28" s="447">
        <v>3800</v>
      </c>
      <c r="D28" s="448">
        <v>41007</v>
      </c>
      <c r="E28" s="448">
        <v>3461</v>
      </c>
      <c r="F28" s="458">
        <f t="shared" si="0"/>
        <v>0.91078947368421</v>
      </c>
      <c r="G28" s="458">
        <f t="shared" si="1"/>
        <v>0.0844002243519399</v>
      </c>
    </row>
    <row r="29" ht="20" customHeight="true" spans="1:7">
      <c r="A29" s="196">
        <v>10308</v>
      </c>
      <c r="B29" s="198" t="s">
        <v>296</v>
      </c>
      <c r="C29" s="447"/>
      <c r="D29" s="448">
        <v>436</v>
      </c>
      <c r="E29" s="448">
        <v>436</v>
      </c>
      <c r="F29" s="458">
        <f t="shared" si="0"/>
        <v>0</v>
      </c>
      <c r="G29" s="458">
        <f t="shared" si="1"/>
        <v>1</v>
      </c>
    </row>
    <row r="30" s="441" customFormat="true" ht="20" customHeight="true" spans="1:7">
      <c r="A30" s="196">
        <v>10309</v>
      </c>
      <c r="B30" s="198" t="s">
        <v>297</v>
      </c>
      <c r="C30" s="447">
        <v>2700</v>
      </c>
      <c r="D30" s="448">
        <v>3199</v>
      </c>
      <c r="E30" s="448">
        <v>3199</v>
      </c>
      <c r="F30" s="458">
        <f t="shared" si="0"/>
        <v>1.18481481481481</v>
      </c>
      <c r="G30" s="458">
        <f t="shared" si="1"/>
        <v>1</v>
      </c>
    </row>
    <row r="31" s="441" customFormat="true" ht="20" customHeight="true" spans="1:7">
      <c r="A31" s="196">
        <v>10399</v>
      </c>
      <c r="B31" s="198" t="s">
        <v>298</v>
      </c>
      <c r="C31" s="449"/>
      <c r="D31" s="448">
        <v>643</v>
      </c>
      <c r="E31" s="448">
        <v>276</v>
      </c>
      <c r="F31" s="458">
        <f t="shared" si="0"/>
        <v>0</v>
      </c>
      <c r="G31" s="458">
        <f t="shared" si="1"/>
        <v>0.429237947122862</v>
      </c>
    </row>
    <row r="32" s="441" customFormat="true" ht="20" customHeight="true" spans="1:7">
      <c r="A32" s="196"/>
      <c r="B32" s="198" t="s">
        <v>87</v>
      </c>
      <c r="C32" s="449"/>
      <c r="D32" s="449"/>
      <c r="E32" s="449"/>
      <c r="F32" s="458">
        <f t="shared" si="0"/>
        <v>0</v>
      </c>
      <c r="G32" s="458">
        <f t="shared" si="1"/>
        <v>0</v>
      </c>
    </row>
    <row r="33" s="183" customFormat="true" ht="20" customHeight="true" spans="1:7">
      <c r="A33" s="444" t="s">
        <v>67</v>
      </c>
      <c r="B33" s="445"/>
      <c r="C33" s="446">
        <f>C6+C23</f>
        <v>49500</v>
      </c>
      <c r="D33" s="446">
        <f>D6+D23</f>
        <v>93069</v>
      </c>
      <c r="E33" s="446">
        <f>E6+E23</f>
        <v>57200</v>
      </c>
      <c r="F33" s="458">
        <f t="shared" si="0"/>
        <v>1.15555555555556</v>
      </c>
      <c r="G33" s="458">
        <f t="shared" si="1"/>
        <v>0.614597771545842</v>
      </c>
    </row>
    <row r="34" ht="31" customHeight="true" spans="1:7">
      <c r="A34" s="450" t="s">
        <v>299</v>
      </c>
      <c r="B34" s="450"/>
      <c r="C34" s="450"/>
      <c r="D34" s="450"/>
      <c r="E34" s="450"/>
      <c r="F34" s="450"/>
      <c r="G34" s="450"/>
    </row>
  </sheetData>
  <mergeCells count="7">
    <mergeCell ref="A2:G2"/>
    <mergeCell ref="A4:B4"/>
    <mergeCell ref="E4:G4"/>
    <mergeCell ref="A33:B33"/>
    <mergeCell ref="A34:G34"/>
    <mergeCell ref="C4:C5"/>
    <mergeCell ref="D4:D5"/>
  </mergeCells>
  <printOptions horizontalCentered="true"/>
  <pageMargins left="0.472222222222222" right="0.472222222222222" top="0.196527777777778" bottom="0.0784722222222222" header="0" footer="0"/>
  <pageSetup paperSize="9" scale="64" fitToWidth="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J1252"/>
  <sheetViews>
    <sheetView zoomScale="130" zoomScaleNormal="130" workbookViewId="0">
      <pane xSplit="2" ySplit="5" topLeftCell="C1193" activePane="bottomRight" state="frozen"/>
      <selection/>
      <selection pane="topRight"/>
      <selection pane="bottomLeft"/>
      <selection pane="bottomRight" activeCell="B1205" sqref="B1205"/>
    </sheetView>
  </sheetViews>
  <sheetFormatPr defaultColWidth="9" defaultRowHeight="14.25"/>
  <cols>
    <col min="1" max="1" width="9" style="363"/>
    <col min="2" max="2" width="46.625" style="360" customWidth="true"/>
    <col min="3" max="4" width="14.375" style="360" customWidth="true"/>
    <col min="5" max="5" width="11.125" style="360" customWidth="true"/>
    <col min="6" max="6" width="13.5583333333333" style="360" hidden="true" customWidth="true"/>
    <col min="7" max="7" width="13.75" style="360" hidden="true" customWidth="true"/>
    <col min="8" max="8" width="12.625" style="360" hidden="true" customWidth="true"/>
    <col min="9" max="9" width="108.458333333333" style="360" hidden="true" customWidth="true"/>
    <col min="10" max="10" width="40.1833333333333" style="360" customWidth="true"/>
    <col min="11" max="16374" width="9" style="360"/>
  </cols>
  <sheetData>
    <row r="1" s="360" customFormat="true" spans="1:6">
      <c r="A1" s="364" t="s">
        <v>300</v>
      </c>
      <c r="E1" s="390" t="s">
        <v>87</v>
      </c>
      <c r="F1" s="390"/>
    </row>
    <row r="2" s="361" customFormat="true" ht="22.5" spans="1:6">
      <c r="A2" s="365" t="s">
        <v>301</v>
      </c>
      <c r="B2" s="365"/>
      <c r="C2" s="365"/>
      <c r="D2" s="365"/>
      <c r="E2" s="365"/>
      <c r="F2" s="365"/>
    </row>
    <row r="3" s="360" customFormat="true" ht="13.5" spans="1:5">
      <c r="A3" s="363"/>
      <c r="E3" s="360" t="s">
        <v>3</v>
      </c>
    </row>
    <row r="4" s="360" customFormat="true" ht="23" customHeight="true" spans="1:6">
      <c r="A4" s="366" t="s">
        <v>264</v>
      </c>
      <c r="B4" s="367"/>
      <c r="C4" s="368" t="s">
        <v>265</v>
      </c>
      <c r="D4" s="369" t="s">
        <v>267</v>
      </c>
      <c r="E4" s="391"/>
      <c r="F4" s="392"/>
    </row>
    <row r="5" s="360" customFormat="true" ht="38" customHeight="true" spans="1:8">
      <c r="A5" s="370" t="s">
        <v>268</v>
      </c>
      <c r="B5" s="367" t="s">
        <v>269</v>
      </c>
      <c r="C5" s="371"/>
      <c r="D5" s="372" t="s">
        <v>270</v>
      </c>
      <c r="E5" s="393" t="s">
        <v>271</v>
      </c>
      <c r="F5" s="372" t="s">
        <v>270</v>
      </c>
      <c r="G5" s="360" t="s">
        <v>302</v>
      </c>
      <c r="H5" s="360" t="s">
        <v>303</v>
      </c>
    </row>
    <row r="6" s="362" customFormat="true" spans="1:8">
      <c r="A6" s="373">
        <v>201</v>
      </c>
      <c r="B6" s="374" t="s">
        <v>304</v>
      </c>
      <c r="C6" s="375">
        <f t="shared" ref="C6:H6" si="0">SUM(C7,C19,C28,C39,C50,C61,C72,C80,C89,C102,C111,C122,C134,C141,C149,C155,C162,C169,C176,C183,C190,C198,C204,C210,C217,C232)</f>
        <v>27960</v>
      </c>
      <c r="D6" s="376">
        <f>F6+G6+H6</f>
        <v>30382</v>
      </c>
      <c r="E6" s="224">
        <f>(D6/C6-1)</f>
        <v>0.0866237482117311</v>
      </c>
      <c r="F6" s="375">
        <f t="shared" si="0"/>
        <v>27954</v>
      </c>
      <c r="G6" s="362">
        <f t="shared" si="0"/>
        <v>382</v>
      </c>
      <c r="H6" s="362">
        <f t="shared" si="0"/>
        <v>2046</v>
      </c>
    </row>
    <row r="7" s="362" customFormat="true" spans="1:8">
      <c r="A7" s="377">
        <v>20101</v>
      </c>
      <c r="B7" s="378" t="s">
        <v>305</v>
      </c>
      <c r="C7" s="379">
        <f t="shared" ref="C7:H7" si="1">SUM(C8:C18)</f>
        <v>1486</v>
      </c>
      <c r="D7" s="380">
        <f>F7+G7+H7</f>
        <v>1466</v>
      </c>
      <c r="E7" s="224">
        <f>(D7/C7-1)</f>
        <v>-0.0134589502018843</v>
      </c>
      <c r="F7" s="379">
        <f t="shared" si="1"/>
        <v>1420</v>
      </c>
      <c r="G7" s="394">
        <f t="shared" si="1"/>
        <v>0</v>
      </c>
      <c r="H7" s="394">
        <f t="shared" si="1"/>
        <v>46</v>
      </c>
    </row>
    <row r="8" s="360" customFormat="true" spans="1:8">
      <c r="A8" s="377">
        <v>2010101</v>
      </c>
      <c r="B8" s="378" t="s">
        <v>306</v>
      </c>
      <c r="C8" s="381">
        <v>1136</v>
      </c>
      <c r="D8" s="380">
        <f>F8+G8+H8</f>
        <v>1068</v>
      </c>
      <c r="E8" s="224">
        <f>(D8/C8-1)</f>
        <v>-0.0598591549295775</v>
      </c>
      <c r="F8" s="380">
        <v>1059</v>
      </c>
      <c r="H8" s="360">
        <v>9</v>
      </c>
    </row>
    <row r="9" s="360" customFormat="true" spans="1:8">
      <c r="A9" s="377">
        <v>2010102</v>
      </c>
      <c r="B9" s="378" t="s">
        <v>307</v>
      </c>
      <c r="C9" s="381">
        <v>225</v>
      </c>
      <c r="D9" s="380">
        <f>F9+G9+H9</f>
        <v>42</v>
      </c>
      <c r="E9" s="224">
        <f>(D9/C9-1)</f>
        <v>-0.813333333333333</v>
      </c>
      <c r="F9" s="380">
        <v>36</v>
      </c>
      <c r="H9" s="360">
        <v>6</v>
      </c>
    </row>
    <row r="10" s="181" customFormat="true" hidden="true" spans="1:6">
      <c r="A10" s="382">
        <v>2010103</v>
      </c>
      <c r="B10" s="383" t="s">
        <v>308</v>
      </c>
      <c r="C10" s="198"/>
      <c r="D10" s="380">
        <f t="shared" ref="D10:D73" si="2">F10+G10+H10</f>
        <v>0</v>
      </c>
      <c r="E10" s="395"/>
      <c r="F10" s="396"/>
    </row>
    <row r="11" s="360" customFormat="true" spans="1:8">
      <c r="A11" s="377">
        <v>2010104</v>
      </c>
      <c r="B11" s="384" t="s">
        <v>309</v>
      </c>
      <c r="C11" s="381">
        <v>80</v>
      </c>
      <c r="D11" s="380">
        <f t="shared" si="2"/>
        <v>96</v>
      </c>
      <c r="E11" s="224">
        <f>(D11/C11-1)</f>
        <v>0.2</v>
      </c>
      <c r="F11" s="380">
        <v>80</v>
      </c>
      <c r="H11" s="360">
        <v>16</v>
      </c>
    </row>
    <row r="12" s="181" customFormat="true" hidden="true" spans="1:6">
      <c r="A12" s="382">
        <v>2010105</v>
      </c>
      <c r="B12" s="383" t="s">
        <v>310</v>
      </c>
      <c r="C12" s="198"/>
      <c r="D12" s="380">
        <f t="shared" si="2"/>
        <v>0</v>
      </c>
      <c r="E12" s="395"/>
      <c r="F12" s="396"/>
    </row>
    <row r="13" s="181" customFormat="true" hidden="true" spans="1:6">
      <c r="A13" s="382">
        <v>2010106</v>
      </c>
      <c r="B13" s="385" t="s">
        <v>311</v>
      </c>
      <c r="C13" s="198"/>
      <c r="D13" s="380">
        <f t="shared" si="2"/>
        <v>0</v>
      </c>
      <c r="E13" s="395"/>
      <c r="F13" s="396"/>
    </row>
    <row r="14" s="181" customFormat="true" hidden="true" spans="1:6">
      <c r="A14" s="382">
        <v>2010107</v>
      </c>
      <c r="B14" s="385" t="s">
        <v>312</v>
      </c>
      <c r="C14" s="198"/>
      <c r="D14" s="380">
        <f t="shared" si="2"/>
        <v>0</v>
      </c>
      <c r="E14" s="395" t="e">
        <f>(C14/#REF!-1)</f>
        <v>#REF!</v>
      </c>
      <c r="F14" s="396"/>
    </row>
    <row r="15" s="360" customFormat="true" spans="1:8">
      <c r="A15" s="377">
        <v>2010108</v>
      </c>
      <c r="B15" s="386" t="s">
        <v>313</v>
      </c>
      <c r="C15" s="381">
        <v>45</v>
      </c>
      <c r="D15" s="380">
        <f t="shared" si="2"/>
        <v>260</v>
      </c>
      <c r="E15" s="224">
        <f>(D15/C15-1)</f>
        <v>4.77777777777778</v>
      </c>
      <c r="F15" s="380">
        <v>245</v>
      </c>
      <c r="H15" s="360">
        <v>15</v>
      </c>
    </row>
    <row r="16" s="181" customFormat="true" hidden="true" spans="1:6">
      <c r="A16" s="382">
        <v>2010109</v>
      </c>
      <c r="B16" s="385" t="s">
        <v>314</v>
      </c>
      <c r="C16" s="198"/>
      <c r="D16" s="380">
        <f t="shared" si="2"/>
        <v>0</v>
      </c>
      <c r="E16" s="395"/>
      <c r="F16" s="396"/>
    </row>
    <row r="17" s="181" customFormat="true" hidden="true" spans="1:6">
      <c r="A17" s="382">
        <v>2010150</v>
      </c>
      <c r="B17" s="385" t="s">
        <v>315</v>
      </c>
      <c r="C17" s="198"/>
      <c r="D17" s="380">
        <f t="shared" si="2"/>
        <v>0</v>
      </c>
      <c r="E17" s="395"/>
      <c r="F17" s="396"/>
    </row>
    <row r="18" s="181" customFormat="true" hidden="true" spans="1:6">
      <c r="A18" s="382">
        <v>2010199</v>
      </c>
      <c r="B18" s="385" t="s">
        <v>316</v>
      </c>
      <c r="C18" s="198"/>
      <c r="D18" s="380">
        <f t="shared" si="2"/>
        <v>0</v>
      </c>
      <c r="E18" s="395" t="e">
        <f>(C18/#REF!-1)</f>
        <v>#REF!</v>
      </c>
      <c r="F18" s="396"/>
    </row>
    <row r="19" s="362" customFormat="true" spans="1:8">
      <c r="A19" s="377">
        <v>20102</v>
      </c>
      <c r="B19" s="378" t="s">
        <v>317</v>
      </c>
      <c r="C19" s="379">
        <f t="shared" ref="C19:H19" si="3">SUM(C20:C27)</f>
        <v>1198</v>
      </c>
      <c r="D19" s="380">
        <f t="shared" si="2"/>
        <v>1077</v>
      </c>
      <c r="E19" s="224">
        <f>(D19/C19-1)</f>
        <v>-0.101001669449082</v>
      </c>
      <c r="F19" s="397">
        <f t="shared" si="3"/>
        <v>1051</v>
      </c>
      <c r="G19" s="394">
        <f t="shared" si="3"/>
        <v>0</v>
      </c>
      <c r="H19" s="394">
        <f t="shared" si="3"/>
        <v>26</v>
      </c>
    </row>
    <row r="20" s="360" customFormat="true" spans="1:6">
      <c r="A20" s="377">
        <v>2010201</v>
      </c>
      <c r="B20" s="378" t="s">
        <v>306</v>
      </c>
      <c r="C20" s="381">
        <v>955</v>
      </c>
      <c r="D20" s="380">
        <f t="shared" si="2"/>
        <v>910</v>
      </c>
      <c r="E20" s="224">
        <f>(D20/C20-1)</f>
        <v>-0.0471204188481675</v>
      </c>
      <c r="F20" s="380">
        <v>910</v>
      </c>
    </row>
    <row r="21" s="360" customFormat="true" spans="1:8">
      <c r="A21" s="377">
        <v>2010202</v>
      </c>
      <c r="B21" s="378" t="s">
        <v>307</v>
      </c>
      <c r="C21" s="381">
        <v>120</v>
      </c>
      <c r="D21" s="380">
        <f t="shared" si="2"/>
        <v>19</v>
      </c>
      <c r="E21" s="224">
        <f>(D21/C21-1)</f>
        <v>-0.841666666666667</v>
      </c>
      <c r="F21" s="380">
        <v>18</v>
      </c>
      <c r="H21" s="360">
        <v>1</v>
      </c>
    </row>
    <row r="22" s="181" customFormat="true" hidden="true" spans="1:6">
      <c r="A22" s="382">
        <v>2010203</v>
      </c>
      <c r="B22" s="383" t="s">
        <v>308</v>
      </c>
      <c r="C22" s="198"/>
      <c r="D22" s="380">
        <f t="shared" si="2"/>
        <v>0</v>
      </c>
      <c r="E22" s="395"/>
      <c r="F22" s="396"/>
    </row>
    <row r="23" s="360" customFormat="true" spans="1:8">
      <c r="A23" s="377">
        <v>2010204</v>
      </c>
      <c r="B23" s="384" t="s">
        <v>318</v>
      </c>
      <c r="C23" s="381">
        <v>80</v>
      </c>
      <c r="D23" s="380">
        <f t="shared" si="2"/>
        <v>92</v>
      </c>
      <c r="E23" s="224">
        <f>(D23/C23-1)</f>
        <v>0.15</v>
      </c>
      <c r="F23" s="380">
        <v>80</v>
      </c>
      <c r="H23" s="360">
        <v>12</v>
      </c>
    </row>
    <row r="24" s="360" customFormat="true" spans="1:8">
      <c r="A24" s="377">
        <v>2010205</v>
      </c>
      <c r="B24" s="384" t="s">
        <v>319</v>
      </c>
      <c r="C24" s="381">
        <v>43</v>
      </c>
      <c r="D24" s="380">
        <f t="shared" si="2"/>
        <v>56</v>
      </c>
      <c r="E24" s="224">
        <f>(D24/C24-1)</f>
        <v>0.302325581395349</v>
      </c>
      <c r="F24" s="380">
        <v>43</v>
      </c>
      <c r="H24" s="360">
        <v>13</v>
      </c>
    </row>
    <row r="25" s="181" customFormat="true" hidden="true" spans="1:6">
      <c r="A25" s="382">
        <v>2010206</v>
      </c>
      <c r="B25" s="383" t="s">
        <v>320</v>
      </c>
      <c r="C25" s="198"/>
      <c r="D25" s="380">
        <f t="shared" si="2"/>
        <v>0</v>
      </c>
      <c r="E25" s="395"/>
      <c r="F25" s="396"/>
    </row>
    <row r="26" s="181" customFormat="true" hidden="true" spans="1:6">
      <c r="A26" s="382">
        <v>2010250</v>
      </c>
      <c r="B26" s="383" t="s">
        <v>315</v>
      </c>
      <c r="C26" s="198"/>
      <c r="D26" s="380">
        <f t="shared" si="2"/>
        <v>0</v>
      </c>
      <c r="E26" s="395"/>
      <c r="F26" s="396"/>
    </row>
    <row r="27" s="181" customFormat="true" hidden="true" spans="1:6">
      <c r="A27" s="382">
        <v>2010299</v>
      </c>
      <c r="B27" s="383" t="s">
        <v>321</v>
      </c>
      <c r="C27" s="198"/>
      <c r="D27" s="380">
        <f t="shared" si="2"/>
        <v>0</v>
      </c>
      <c r="E27" s="395"/>
      <c r="F27" s="396"/>
    </row>
    <row r="28" s="362" customFormat="true" spans="1:8">
      <c r="A28" s="377">
        <v>20103</v>
      </c>
      <c r="B28" s="378" t="s">
        <v>322</v>
      </c>
      <c r="C28" s="379">
        <f t="shared" ref="C28:H28" si="4">SUM(C29:C38)</f>
        <v>5263</v>
      </c>
      <c r="D28" s="380">
        <f t="shared" si="2"/>
        <v>5163</v>
      </c>
      <c r="E28" s="224">
        <f>(D28/C28-1)</f>
        <v>-0.0190005700171005</v>
      </c>
      <c r="F28" s="397">
        <f t="shared" si="4"/>
        <v>5037</v>
      </c>
      <c r="G28" s="394">
        <f t="shared" si="4"/>
        <v>0</v>
      </c>
      <c r="H28" s="394">
        <f t="shared" si="4"/>
        <v>126</v>
      </c>
    </row>
    <row r="29" s="360" customFormat="true" spans="1:8">
      <c r="A29" s="377">
        <v>2010301</v>
      </c>
      <c r="B29" s="378" t="s">
        <v>306</v>
      </c>
      <c r="C29" s="381">
        <v>691</v>
      </c>
      <c r="D29" s="380">
        <f t="shared" si="2"/>
        <v>619</v>
      </c>
      <c r="E29" s="224">
        <f>(D29/C29-1)</f>
        <v>-0.104196816208394</v>
      </c>
      <c r="F29" s="380">
        <v>618</v>
      </c>
      <c r="H29" s="360">
        <v>1</v>
      </c>
    </row>
    <row r="30" s="360" customFormat="true" spans="1:8">
      <c r="A30" s="377">
        <v>2010302</v>
      </c>
      <c r="B30" s="378" t="s">
        <v>307</v>
      </c>
      <c r="C30" s="381">
        <v>90</v>
      </c>
      <c r="D30" s="380">
        <f t="shared" si="2"/>
        <v>88</v>
      </c>
      <c r="E30" s="224">
        <f>(D30/C30-1)</f>
        <v>-0.0222222222222223</v>
      </c>
      <c r="F30" s="380">
        <v>84</v>
      </c>
      <c r="H30" s="360">
        <v>4</v>
      </c>
    </row>
    <row r="31" s="360" customFormat="true" spans="1:8">
      <c r="A31" s="377">
        <v>2010303</v>
      </c>
      <c r="B31" s="384" t="s">
        <v>308</v>
      </c>
      <c r="C31" s="381">
        <v>3891</v>
      </c>
      <c r="D31" s="380">
        <f t="shared" si="2"/>
        <v>3752</v>
      </c>
      <c r="E31" s="224">
        <f>(D31/C31-1)</f>
        <v>-0.0357234644050373</v>
      </c>
      <c r="F31" s="380">
        <v>3642</v>
      </c>
      <c r="H31" s="360">
        <v>110</v>
      </c>
    </row>
    <row r="32" s="181" customFormat="true" hidden="true" spans="1:6">
      <c r="A32" s="382">
        <v>2010304</v>
      </c>
      <c r="B32" s="383" t="s">
        <v>323</v>
      </c>
      <c r="C32" s="198" t="s">
        <v>87</v>
      </c>
      <c r="D32" s="380">
        <f t="shared" si="2"/>
        <v>0</v>
      </c>
      <c r="E32" s="395"/>
      <c r="F32" s="396"/>
    </row>
    <row r="33" s="181" customFormat="true" hidden="true" spans="1:6">
      <c r="A33" s="382">
        <v>2010305</v>
      </c>
      <c r="B33" s="383" t="s">
        <v>324</v>
      </c>
      <c r="C33" s="198"/>
      <c r="D33" s="380">
        <f t="shared" si="2"/>
        <v>0</v>
      </c>
      <c r="E33" s="395"/>
      <c r="F33" s="396"/>
    </row>
    <row r="34" s="181" customFormat="true" hidden="true" spans="1:6">
      <c r="A34" s="382">
        <v>2010306</v>
      </c>
      <c r="B34" s="387" t="s">
        <v>325</v>
      </c>
      <c r="C34" s="198"/>
      <c r="D34" s="380">
        <f t="shared" si="2"/>
        <v>0</v>
      </c>
      <c r="E34" s="395"/>
      <c r="F34" s="396"/>
    </row>
    <row r="35" s="360" customFormat="true" spans="1:8">
      <c r="A35" s="377">
        <v>2010308</v>
      </c>
      <c r="B35" s="378" t="s">
        <v>326</v>
      </c>
      <c r="C35" s="381">
        <f>175+15</f>
        <v>190</v>
      </c>
      <c r="D35" s="380">
        <f t="shared" si="2"/>
        <v>1</v>
      </c>
      <c r="E35" s="224">
        <f>(D35/C35-1)</f>
        <v>-0.994736842105263</v>
      </c>
      <c r="F35" s="380"/>
      <c r="H35" s="360">
        <v>1</v>
      </c>
    </row>
    <row r="36" s="181" customFormat="true" hidden="true" spans="1:6">
      <c r="A36" s="382">
        <v>2010309</v>
      </c>
      <c r="B36" s="383" t="s">
        <v>327</v>
      </c>
      <c r="C36" s="198"/>
      <c r="D36" s="380">
        <f t="shared" si="2"/>
        <v>0</v>
      </c>
      <c r="E36" s="395"/>
      <c r="F36" s="396"/>
    </row>
    <row r="37" s="181" customFormat="true" hidden="true" spans="1:6">
      <c r="A37" s="382">
        <v>2010350</v>
      </c>
      <c r="B37" s="383" t="s">
        <v>315</v>
      </c>
      <c r="C37" s="198"/>
      <c r="D37" s="380">
        <f t="shared" si="2"/>
        <v>0</v>
      </c>
      <c r="E37" s="395"/>
      <c r="F37" s="396"/>
    </row>
    <row r="38" s="360" customFormat="true" spans="1:8">
      <c r="A38" s="377">
        <v>2010399</v>
      </c>
      <c r="B38" s="384" t="s">
        <v>328</v>
      </c>
      <c r="C38" s="381">
        <v>401</v>
      </c>
      <c r="D38" s="380">
        <f t="shared" si="2"/>
        <v>703</v>
      </c>
      <c r="E38" s="224">
        <f>(D38/C38-1)</f>
        <v>0.753117206982544</v>
      </c>
      <c r="F38" s="380">
        <v>693</v>
      </c>
      <c r="H38" s="360">
        <v>10</v>
      </c>
    </row>
    <row r="39" s="362" customFormat="true" spans="1:8">
      <c r="A39" s="377">
        <v>20104</v>
      </c>
      <c r="B39" s="378" t="s">
        <v>329</v>
      </c>
      <c r="C39" s="379">
        <f t="shared" ref="C39:H39" si="5">SUM(C40:C49)</f>
        <v>514</v>
      </c>
      <c r="D39" s="380">
        <f t="shared" si="2"/>
        <v>621</v>
      </c>
      <c r="E39" s="224">
        <f>(D39/C39-1)</f>
        <v>0.208171206225681</v>
      </c>
      <c r="F39" s="397">
        <f t="shared" si="5"/>
        <v>605</v>
      </c>
      <c r="G39" s="394">
        <f t="shared" si="5"/>
        <v>0</v>
      </c>
      <c r="H39" s="394">
        <f t="shared" si="5"/>
        <v>16</v>
      </c>
    </row>
    <row r="40" s="360" customFormat="true" spans="1:6">
      <c r="A40" s="377">
        <v>2010401</v>
      </c>
      <c r="B40" s="378" t="s">
        <v>306</v>
      </c>
      <c r="C40" s="381">
        <v>482</v>
      </c>
      <c r="D40" s="380">
        <f t="shared" si="2"/>
        <v>547</v>
      </c>
      <c r="E40" s="224">
        <f>(D40/C40-1)</f>
        <v>0.134854771784232</v>
      </c>
      <c r="F40" s="380">
        <v>547</v>
      </c>
    </row>
    <row r="41" s="360" customFormat="true" spans="1:8">
      <c r="A41" s="377">
        <v>2010402</v>
      </c>
      <c r="B41" s="378" t="s">
        <v>307</v>
      </c>
      <c r="C41" s="381">
        <v>30</v>
      </c>
      <c r="D41" s="380">
        <f t="shared" si="2"/>
        <v>67</v>
      </c>
      <c r="E41" s="224">
        <f>(D41/C41-1)</f>
        <v>1.23333333333333</v>
      </c>
      <c r="F41" s="380">
        <v>58</v>
      </c>
      <c r="H41" s="360">
        <v>9</v>
      </c>
    </row>
    <row r="42" s="181" customFormat="true" hidden="true" spans="1:6">
      <c r="A42" s="382">
        <v>2010403</v>
      </c>
      <c r="B42" s="383" t="s">
        <v>308</v>
      </c>
      <c r="C42" s="198"/>
      <c r="D42" s="380">
        <f t="shared" si="2"/>
        <v>0</v>
      </c>
      <c r="E42" s="395"/>
      <c r="F42" s="396"/>
    </row>
    <row r="43" s="181" customFormat="true" spans="1:8">
      <c r="A43" s="382">
        <v>2010404</v>
      </c>
      <c r="B43" s="383" t="s">
        <v>330</v>
      </c>
      <c r="C43" s="198"/>
      <c r="D43" s="380">
        <f t="shared" si="2"/>
        <v>6</v>
      </c>
      <c r="E43" s="395"/>
      <c r="F43" s="396"/>
      <c r="H43" s="181">
        <v>6</v>
      </c>
    </row>
    <row r="44" s="181" customFormat="true" hidden="true" spans="1:6">
      <c r="A44" s="382">
        <v>2010405</v>
      </c>
      <c r="B44" s="383" t="s">
        <v>331</v>
      </c>
      <c r="C44" s="198"/>
      <c r="D44" s="380">
        <f t="shared" si="2"/>
        <v>0</v>
      </c>
      <c r="E44" s="395"/>
      <c r="F44" s="396"/>
    </row>
    <row r="45" s="181" customFormat="true" hidden="true" spans="1:6">
      <c r="A45" s="382">
        <v>2010406</v>
      </c>
      <c r="B45" s="388" t="s">
        <v>332</v>
      </c>
      <c r="C45" s="198"/>
      <c r="D45" s="380">
        <f t="shared" si="2"/>
        <v>0</v>
      </c>
      <c r="E45" s="395" t="e">
        <f>(C45/#REF!-1)</f>
        <v>#REF!</v>
      </c>
      <c r="F45" s="396"/>
    </row>
    <row r="46" s="181" customFormat="true" hidden="true" spans="1:6">
      <c r="A46" s="382">
        <v>2010407</v>
      </c>
      <c r="B46" s="388" t="s">
        <v>333</v>
      </c>
      <c r="C46" s="198"/>
      <c r="D46" s="380">
        <f t="shared" si="2"/>
        <v>0</v>
      </c>
      <c r="E46" s="395"/>
      <c r="F46" s="396"/>
    </row>
    <row r="47" s="360" customFormat="true" spans="1:8">
      <c r="A47" s="377">
        <v>2010408</v>
      </c>
      <c r="B47" s="378" t="s">
        <v>334</v>
      </c>
      <c r="C47" s="381">
        <v>2</v>
      </c>
      <c r="D47" s="380">
        <f t="shared" si="2"/>
        <v>1</v>
      </c>
      <c r="E47" s="224">
        <f>(D47/C47-1)</f>
        <v>-0.5</v>
      </c>
      <c r="F47" s="380"/>
      <c r="H47" s="360">
        <v>1</v>
      </c>
    </row>
    <row r="48" s="181" customFormat="true" hidden="true" spans="1:6">
      <c r="A48" s="382">
        <v>2010450</v>
      </c>
      <c r="B48" s="388" t="s">
        <v>315</v>
      </c>
      <c r="C48" s="198"/>
      <c r="D48" s="380">
        <f t="shared" si="2"/>
        <v>0</v>
      </c>
      <c r="E48" s="395"/>
      <c r="F48" s="396"/>
    </row>
    <row r="49" s="181" customFormat="true" hidden="true" spans="1:6">
      <c r="A49" s="382">
        <v>2010499</v>
      </c>
      <c r="B49" s="383" t="s">
        <v>335</v>
      </c>
      <c r="C49" s="198"/>
      <c r="D49" s="380">
        <f t="shared" si="2"/>
        <v>0</v>
      </c>
      <c r="E49" s="395"/>
      <c r="F49" s="396"/>
    </row>
    <row r="50" s="362" customFormat="true" spans="1:8">
      <c r="A50" s="377">
        <v>20105</v>
      </c>
      <c r="B50" s="384" t="s">
        <v>336</v>
      </c>
      <c r="C50" s="379">
        <f t="shared" ref="C50:H50" si="6">SUM(C51:C60)</f>
        <v>294</v>
      </c>
      <c r="D50" s="380">
        <f t="shared" si="2"/>
        <v>321</v>
      </c>
      <c r="E50" s="224">
        <f>(D50/C50-1)</f>
        <v>0.0918367346938775</v>
      </c>
      <c r="F50" s="397">
        <f t="shared" si="6"/>
        <v>290</v>
      </c>
      <c r="G50" s="394">
        <f t="shared" si="6"/>
        <v>0</v>
      </c>
      <c r="H50" s="394">
        <f t="shared" si="6"/>
        <v>31</v>
      </c>
    </row>
    <row r="51" s="360" customFormat="true" spans="1:8">
      <c r="A51" s="377">
        <v>2010501</v>
      </c>
      <c r="B51" s="384" t="s">
        <v>306</v>
      </c>
      <c r="C51" s="381">
        <v>254</v>
      </c>
      <c r="D51" s="380">
        <f t="shared" si="2"/>
        <v>269</v>
      </c>
      <c r="E51" s="224">
        <f>(D51/C51-1)</f>
        <v>0.0590551181102361</v>
      </c>
      <c r="F51" s="380">
        <v>268</v>
      </c>
      <c r="H51" s="360">
        <v>1</v>
      </c>
    </row>
    <row r="52" s="360" customFormat="true" spans="1:8">
      <c r="A52" s="377">
        <v>2010502</v>
      </c>
      <c r="B52" s="386" t="s">
        <v>307</v>
      </c>
      <c r="C52" s="381">
        <v>15</v>
      </c>
      <c r="D52" s="380">
        <f t="shared" si="2"/>
        <v>16</v>
      </c>
      <c r="E52" s="224">
        <f>(D52/C52-1)</f>
        <v>0.0666666666666667</v>
      </c>
      <c r="F52" s="380">
        <v>14</v>
      </c>
      <c r="H52" s="360">
        <v>2</v>
      </c>
    </row>
    <row r="53" s="181" customFormat="true" hidden="true" spans="1:6">
      <c r="A53" s="382">
        <v>2010503</v>
      </c>
      <c r="B53" s="388" t="s">
        <v>308</v>
      </c>
      <c r="C53" s="198"/>
      <c r="D53" s="380">
        <f t="shared" si="2"/>
        <v>0</v>
      </c>
      <c r="E53" s="395"/>
      <c r="F53" s="396"/>
    </row>
    <row r="54" s="181" customFormat="true" hidden="true" spans="1:6">
      <c r="A54" s="382">
        <v>2010504</v>
      </c>
      <c r="B54" s="388" t="s">
        <v>337</v>
      </c>
      <c r="C54" s="198"/>
      <c r="D54" s="380">
        <f t="shared" si="2"/>
        <v>0</v>
      </c>
      <c r="E54" s="395"/>
      <c r="F54" s="396"/>
    </row>
    <row r="55" s="360" customFormat="true" hidden="true" spans="1:6">
      <c r="A55" s="377">
        <v>2010505</v>
      </c>
      <c r="B55" s="378" t="s">
        <v>338</v>
      </c>
      <c r="C55" s="381">
        <v>20</v>
      </c>
      <c r="D55" s="380">
        <f t="shared" si="2"/>
        <v>0</v>
      </c>
      <c r="E55" s="224">
        <f>(D55/C55-1)</f>
        <v>-1</v>
      </c>
      <c r="F55" s="380"/>
    </row>
    <row r="56" s="181" customFormat="true" hidden="true" spans="1:6">
      <c r="A56" s="382">
        <v>2010506</v>
      </c>
      <c r="B56" s="383" t="s">
        <v>339</v>
      </c>
      <c r="C56" s="198"/>
      <c r="D56" s="380">
        <f t="shared" si="2"/>
        <v>0</v>
      </c>
      <c r="E56" s="395"/>
      <c r="F56" s="396"/>
    </row>
    <row r="57" s="360" customFormat="true" spans="1:8">
      <c r="A57" s="377">
        <v>2010507</v>
      </c>
      <c r="B57" s="384" t="s">
        <v>340</v>
      </c>
      <c r="C57" s="381">
        <v>5</v>
      </c>
      <c r="D57" s="380">
        <f t="shared" si="2"/>
        <v>36</v>
      </c>
      <c r="E57" s="224">
        <f>(D57/C57-1)</f>
        <v>6.2</v>
      </c>
      <c r="F57" s="380">
        <v>8</v>
      </c>
      <c r="H57" s="360">
        <v>28</v>
      </c>
    </row>
    <row r="58" s="181" customFormat="true" hidden="true" spans="1:6">
      <c r="A58" s="382">
        <v>2010508</v>
      </c>
      <c r="B58" s="383" t="s">
        <v>341</v>
      </c>
      <c r="C58" s="198"/>
      <c r="D58" s="380">
        <f t="shared" si="2"/>
        <v>0</v>
      </c>
      <c r="E58" s="395"/>
      <c r="F58" s="396"/>
    </row>
    <row r="59" s="181" customFormat="true" hidden="true" spans="1:6">
      <c r="A59" s="382">
        <v>2010550</v>
      </c>
      <c r="B59" s="388" t="s">
        <v>315</v>
      </c>
      <c r="C59" s="198"/>
      <c r="D59" s="380">
        <f t="shared" si="2"/>
        <v>0</v>
      </c>
      <c r="E59" s="395"/>
      <c r="F59" s="396"/>
    </row>
    <row r="60" s="181" customFormat="true" hidden="true" spans="1:6">
      <c r="A60" s="382">
        <v>2010599</v>
      </c>
      <c r="B60" s="383" t="s">
        <v>342</v>
      </c>
      <c r="C60" s="198"/>
      <c r="D60" s="380">
        <f t="shared" si="2"/>
        <v>0</v>
      </c>
      <c r="E60" s="395"/>
      <c r="F60" s="396"/>
    </row>
    <row r="61" s="362" customFormat="true" spans="1:8">
      <c r="A61" s="377">
        <v>20106</v>
      </c>
      <c r="B61" s="389" t="s">
        <v>343</v>
      </c>
      <c r="C61" s="379">
        <f t="shared" ref="C61:H61" si="7">SUM(C62:C71)</f>
        <v>1054</v>
      </c>
      <c r="D61" s="380">
        <f t="shared" si="2"/>
        <v>1208</v>
      </c>
      <c r="E61" s="224">
        <f>(D61/C61-1)</f>
        <v>0.146110056925996</v>
      </c>
      <c r="F61" s="397">
        <f t="shared" si="7"/>
        <v>1167</v>
      </c>
      <c r="G61" s="394">
        <f t="shared" si="7"/>
        <v>0</v>
      </c>
      <c r="H61" s="394">
        <f t="shared" si="7"/>
        <v>41</v>
      </c>
    </row>
    <row r="62" s="360" customFormat="true" spans="1:6">
      <c r="A62" s="377">
        <v>2010601</v>
      </c>
      <c r="B62" s="384" t="s">
        <v>306</v>
      </c>
      <c r="C62" s="381">
        <v>901</v>
      </c>
      <c r="D62" s="380">
        <f t="shared" si="2"/>
        <v>1073</v>
      </c>
      <c r="E62" s="224">
        <f>(D62/C62-1)</f>
        <v>0.190899001109878</v>
      </c>
      <c r="F62" s="380">
        <v>1073</v>
      </c>
    </row>
    <row r="63" s="360" customFormat="true" spans="1:8">
      <c r="A63" s="377">
        <v>2010602</v>
      </c>
      <c r="B63" s="386" t="s">
        <v>307</v>
      </c>
      <c r="C63" s="381">
        <v>153</v>
      </c>
      <c r="D63" s="380">
        <f t="shared" si="2"/>
        <v>135</v>
      </c>
      <c r="E63" s="224">
        <f>(D63/C63-1)</f>
        <v>-0.117647058823529</v>
      </c>
      <c r="F63" s="380">
        <v>94</v>
      </c>
      <c r="H63" s="360">
        <v>41</v>
      </c>
    </row>
    <row r="64" s="181" customFormat="true" hidden="true" spans="1:6">
      <c r="A64" s="382">
        <v>2010603</v>
      </c>
      <c r="B64" s="385" t="s">
        <v>308</v>
      </c>
      <c r="C64" s="198"/>
      <c r="D64" s="380">
        <f t="shared" si="2"/>
        <v>0</v>
      </c>
      <c r="E64" s="395"/>
      <c r="F64" s="396"/>
    </row>
    <row r="65" s="181" customFormat="true" hidden="true" spans="1:6">
      <c r="A65" s="382">
        <v>2010604</v>
      </c>
      <c r="B65" s="385" t="s">
        <v>344</v>
      </c>
      <c r="C65" s="198"/>
      <c r="D65" s="380">
        <f t="shared" si="2"/>
        <v>0</v>
      </c>
      <c r="E65" s="395" t="e">
        <f>(C65/#REF!-1)</f>
        <v>#REF!</v>
      </c>
      <c r="F65" s="396"/>
    </row>
    <row r="66" s="181" customFormat="true" hidden="true" spans="1:6">
      <c r="A66" s="382">
        <v>2010605</v>
      </c>
      <c r="B66" s="385" t="s">
        <v>345</v>
      </c>
      <c r="C66" s="198"/>
      <c r="D66" s="380">
        <f t="shared" si="2"/>
        <v>0</v>
      </c>
      <c r="E66" s="395"/>
      <c r="F66" s="396"/>
    </row>
    <row r="67" s="181" customFormat="true" hidden="true" spans="1:6">
      <c r="A67" s="382">
        <v>2010606</v>
      </c>
      <c r="B67" s="385" t="s">
        <v>346</v>
      </c>
      <c r="C67" s="198"/>
      <c r="D67" s="380">
        <f t="shared" si="2"/>
        <v>0</v>
      </c>
      <c r="E67" s="395"/>
      <c r="F67" s="396"/>
    </row>
    <row r="68" s="181" customFormat="true" hidden="true" spans="1:6">
      <c r="A68" s="382">
        <v>2010607</v>
      </c>
      <c r="B68" s="388" t="s">
        <v>347</v>
      </c>
      <c r="C68" s="198"/>
      <c r="D68" s="380">
        <f t="shared" si="2"/>
        <v>0</v>
      </c>
      <c r="E68" s="395"/>
      <c r="F68" s="396"/>
    </row>
    <row r="69" s="181" customFormat="true" hidden="true" spans="1:6">
      <c r="A69" s="382">
        <v>2010608</v>
      </c>
      <c r="B69" s="383" t="s">
        <v>348</v>
      </c>
      <c r="C69" s="198"/>
      <c r="D69" s="380">
        <f t="shared" si="2"/>
        <v>0</v>
      </c>
      <c r="E69" s="395"/>
      <c r="F69" s="396"/>
    </row>
    <row r="70" s="181" customFormat="true" hidden="true" spans="1:6">
      <c r="A70" s="382">
        <v>2010650</v>
      </c>
      <c r="B70" s="383" t="s">
        <v>315</v>
      </c>
      <c r="C70" s="198"/>
      <c r="D70" s="380">
        <f t="shared" si="2"/>
        <v>0</v>
      </c>
      <c r="E70" s="395"/>
      <c r="F70" s="396"/>
    </row>
    <row r="71" s="181" customFormat="true" hidden="true" spans="1:6">
      <c r="A71" s="382">
        <v>2010699</v>
      </c>
      <c r="B71" s="383" t="s">
        <v>349</v>
      </c>
      <c r="C71" s="198"/>
      <c r="D71" s="380">
        <f t="shared" si="2"/>
        <v>0</v>
      </c>
      <c r="E71" s="395"/>
      <c r="F71" s="396"/>
    </row>
    <row r="72" s="360" customFormat="true" hidden="true" spans="1:8">
      <c r="A72" s="377">
        <v>20107</v>
      </c>
      <c r="B72" s="378" t="s">
        <v>350</v>
      </c>
      <c r="C72" s="379">
        <f t="shared" ref="C72:H72" si="8">SUM(C73:C79)</f>
        <v>200</v>
      </c>
      <c r="D72" s="380">
        <f t="shared" si="2"/>
        <v>0</v>
      </c>
      <c r="E72" s="224">
        <f>(D72/C72-1)</f>
        <v>-1</v>
      </c>
      <c r="F72" s="397">
        <f t="shared" si="8"/>
        <v>0</v>
      </c>
      <c r="G72" s="402">
        <f t="shared" si="8"/>
        <v>0</v>
      </c>
      <c r="H72" s="402">
        <f t="shared" si="8"/>
        <v>0</v>
      </c>
    </row>
    <row r="73" s="181" customFormat="true" hidden="true" spans="1:6">
      <c r="A73" s="382">
        <v>2010701</v>
      </c>
      <c r="B73" s="388" t="s">
        <v>306</v>
      </c>
      <c r="C73" s="198"/>
      <c r="D73" s="380">
        <f t="shared" si="2"/>
        <v>0</v>
      </c>
      <c r="E73" s="395"/>
      <c r="F73" s="396"/>
    </row>
    <row r="74" s="181" customFormat="true" hidden="true" spans="1:6">
      <c r="A74" s="382">
        <v>2010702</v>
      </c>
      <c r="B74" s="388" t="s">
        <v>307</v>
      </c>
      <c r="C74" s="198"/>
      <c r="D74" s="380">
        <f t="shared" ref="D74:D137" si="9">F74+G74+H74</f>
        <v>0</v>
      </c>
      <c r="E74" s="395"/>
      <c r="F74" s="396"/>
    </row>
    <row r="75" s="181" customFormat="true" hidden="true" spans="1:6">
      <c r="A75" s="382">
        <v>2010703</v>
      </c>
      <c r="B75" s="383" t="s">
        <v>308</v>
      </c>
      <c r="C75" s="198"/>
      <c r="D75" s="380">
        <f t="shared" si="9"/>
        <v>0</v>
      </c>
      <c r="E75" s="395"/>
      <c r="F75" s="396"/>
    </row>
    <row r="76" s="181" customFormat="true" hidden="true" spans="1:6">
      <c r="A76" s="382">
        <v>2010709</v>
      </c>
      <c r="B76" s="388" t="s">
        <v>347</v>
      </c>
      <c r="C76" s="198"/>
      <c r="D76" s="380">
        <f t="shared" si="9"/>
        <v>0</v>
      </c>
      <c r="E76" s="395"/>
      <c r="F76" s="396"/>
    </row>
    <row r="77" s="181" customFormat="true" hidden="true" spans="1:6">
      <c r="A77" s="382">
        <v>2010710</v>
      </c>
      <c r="B77" s="383" t="s">
        <v>351</v>
      </c>
      <c r="C77" s="198"/>
      <c r="D77" s="380">
        <f t="shared" si="9"/>
        <v>0</v>
      </c>
      <c r="E77" s="395"/>
      <c r="F77" s="396"/>
    </row>
    <row r="78" s="181" customFormat="true" hidden="true" spans="1:6">
      <c r="A78" s="382">
        <v>2010750</v>
      </c>
      <c r="B78" s="383" t="s">
        <v>315</v>
      </c>
      <c r="C78" s="198"/>
      <c r="D78" s="380">
        <f t="shared" si="9"/>
        <v>0</v>
      </c>
      <c r="E78" s="395"/>
      <c r="F78" s="396"/>
    </row>
    <row r="79" s="360" customFormat="true" hidden="true" spans="1:6">
      <c r="A79" s="377">
        <v>2010799</v>
      </c>
      <c r="B79" s="384" t="s">
        <v>352</v>
      </c>
      <c r="C79" s="381">
        <v>200</v>
      </c>
      <c r="D79" s="380">
        <f t="shared" si="9"/>
        <v>0</v>
      </c>
      <c r="E79" s="224">
        <f>(D79/C79-1)</f>
        <v>-1</v>
      </c>
      <c r="F79" s="380"/>
    </row>
    <row r="80" s="360" customFormat="true" spans="1:8">
      <c r="A80" s="377">
        <v>20108</v>
      </c>
      <c r="B80" s="384" t="s">
        <v>353</v>
      </c>
      <c r="C80" s="379">
        <f t="shared" ref="C80:H80" si="10">SUM(C81:C88)</f>
        <v>453</v>
      </c>
      <c r="D80" s="380">
        <f t="shared" si="9"/>
        <v>444</v>
      </c>
      <c r="E80" s="224">
        <f>(D80/C80-1)</f>
        <v>-0.0198675496688742</v>
      </c>
      <c r="F80" s="397">
        <f t="shared" si="10"/>
        <v>434</v>
      </c>
      <c r="G80" s="402">
        <f t="shared" si="10"/>
        <v>10</v>
      </c>
      <c r="H80" s="402">
        <f t="shared" si="10"/>
        <v>0</v>
      </c>
    </row>
    <row r="81" s="360" customFormat="true" spans="1:6">
      <c r="A81" s="377">
        <v>2010801</v>
      </c>
      <c r="B81" s="378" t="s">
        <v>306</v>
      </c>
      <c r="C81" s="381">
        <v>353</v>
      </c>
      <c r="D81" s="380">
        <f t="shared" si="9"/>
        <v>401</v>
      </c>
      <c r="E81" s="224">
        <f>(D81/C81-1)</f>
        <v>0.135977337110482</v>
      </c>
      <c r="F81" s="380">
        <v>401</v>
      </c>
    </row>
    <row r="82" s="360" customFormat="true" spans="1:9">
      <c r="A82" s="377">
        <v>2010802</v>
      </c>
      <c r="B82" s="378" t="s">
        <v>307</v>
      </c>
      <c r="C82" s="381">
        <v>18</v>
      </c>
      <c r="D82" s="380">
        <f t="shared" si="9"/>
        <v>10</v>
      </c>
      <c r="E82" s="224">
        <f>(D82/C82-1)</f>
        <v>-0.444444444444444</v>
      </c>
      <c r="F82" s="380"/>
      <c r="G82" s="360">
        <v>10</v>
      </c>
      <c r="I82" s="360" t="s">
        <v>354</v>
      </c>
    </row>
    <row r="83" s="181" customFormat="true" hidden="true" spans="1:6">
      <c r="A83" s="382">
        <v>2010803</v>
      </c>
      <c r="B83" s="388" t="s">
        <v>308</v>
      </c>
      <c r="C83" s="198"/>
      <c r="D83" s="380">
        <f t="shared" si="9"/>
        <v>0</v>
      </c>
      <c r="E83" s="395"/>
      <c r="F83" s="396"/>
    </row>
    <row r="84" s="360" customFormat="true" spans="1:6">
      <c r="A84" s="377">
        <v>2010804</v>
      </c>
      <c r="B84" s="398" t="s">
        <v>355</v>
      </c>
      <c r="C84" s="381">
        <v>82</v>
      </c>
      <c r="D84" s="380">
        <f t="shared" si="9"/>
        <v>33</v>
      </c>
      <c r="E84" s="224">
        <f>(D84/C84-1)</f>
        <v>-0.597560975609756</v>
      </c>
      <c r="F84" s="380">
        <v>33</v>
      </c>
    </row>
    <row r="85" s="181" customFormat="true" hidden="true" spans="1:6">
      <c r="A85" s="382">
        <v>2010805</v>
      </c>
      <c r="B85" s="383" t="s">
        <v>356</v>
      </c>
      <c r="C85" s="198"/>
      <c r="D85" s="380">
        <f t="shared" si="9"/>
        <v>0</v>
      </c>
      <c r="E85" s="395"/>
      <c r="F85" s="396"/>
    </row>
    <row r="86" s="181" customFormat="true" hidden="true" spans="1:6">
      <c r="A86" s="382">
        <v>2010806</v>
      </c>
      <c r="B86" s="383" t="s">
        <v>347</v>
      </c>
      <c r="C86" s="198"/>
      <c r="D86" s="380">
        <f t="shared" si="9"/>
        <v>0</v>
      </c>
      <c r="E86" s="395"/>
      <c r="F86" s="396"/>
    </row>
    <row r="87" s="181" customFormat="true" hidden="true" spans="1:6">
      <c r="A87" s="382">
        <v>2010850</v>
      </c>
      <c r="B87" s="383" t="s">
        <v>315</v>
      </c>
      <c r="C87" s="198"/>
      <c r="D87" s="380">
        <f t="shared" si="9"/>
        <v>0</v>
      </c>
      <c r="E87" s="395"/>
      <c r="F87" s="396"/>
    </row>
    <row r="88" s="181" customFormat="true" hidden="true" spans="1:6">
      <c r="A88" s="382">
        <v>2010899</v>
      </c>
      <c r="B88" s="385" t="s">
        <v>357</v>
      </c>
      <c r="C88" s="198"/>
      <c r="D88" s="380">
        <f t="shared" si="9"/>
        <v>0</v>
      </c>
      <c r="E88" s="395"/>
      <c r="F88" s="396"/>
    </row>
    <row r="89" s="181" customFormat="true" hidden="true" spans="1:8">
      <c r="A89" s="382">
        <v>20109</v>
      </c>
      <c r="B89" s="399" t="s">
        <v>358</v>
      </c>
      <c r="C89" s="400">
        <f t="shared" ref="C89:H89" si="11">SUM(C90:C101)</f>
        <v>0</v>
      </c>
      <c r="D89" s="380">
        <f t="shared" si="9"/>
        <v>0</v>
      </c>
      <c r="E89" s="395"/>
      <c r="F89" s="403">
        <f t="shared" si="11"/>
        <v>0</v>
      </c>
      <c r="G89" s="404">
        <f t="shared" si="11"/>
        <v>0</v>
      </c>
      <c r="H89" s="404">
        <f t="shared" si="11"/>
        <v>0</v>
      </c>
    </row>
    <row r="90" s="181" customFormat="true" hidden="true" spans="1:6">
      <c r="A90" s="382">
        <v>2010901</v>
      </c>
      <c r="B90" s="388" t="s">
        <v>306</v>
      </c>
      <c r="C90" s="198"/>
      <c r="D90" s="380">
        <f t="shared" si="9"/>
        <v>0</v>
      </c>
      <c r="E90" s="395"/>
      <c r="F90" s="396"/>
    </row>
    <row r="91" s="181" customFormat="true" hidden="true" spans="1:6">
      <c r="A91" s="382">
        <v>2010902</v>
      </c>
      <c r="B91" s="383" t="s">
        <v>307</v>
      </c>
      <c r="C91" s="198"/>
      <c r="D91" s="380">
        <f t="shared" si="9"/>
        <v>0</v>
      </c>
      <c r="E91" s="395"/>
      <c r="F91" s="396"/>
    </row>
    <row r="92" s="181" customFormat="true" hidden="true" spans="1:6">
      <c r="A92" s="382">
        <v>2010903</v>
      </c>
      <c r="B92" s="383" t="s">
        <v>308</v>
      </c>
      <c r="C92" s="198"/>
      <c r="D92" s="380">
        <f t="shared" si="9"/>
        <v>0</v>
      </c>
      <c r="E92" s="395"/>
      <c r="F92" s="396"/>
    </row>
    <row r="93" s="181" customFormat="true" hidden="true" spans="1:6">
      <c r="A93" s="382">
        <v>2010905</v>
      </c>
      <c r="B93" s="388" t="s">
        <v>359</v>
      </c>
      <c r="C93" s="198"/>
      <c r="D93" s="380">
        <f t="shared" si="9"/>
        <v>0</v>
      </c>
      <c r="E93" s="395"/>
      <c r="F93" s="396"/>
    </row>
    <row r="94" s="181" customFormat="true" hidden="true" spans="1:6">
      <c r="A94" s="382">
        <v>2010907</v>
      </c>
      <c r="B94" s="388" t="s">
        <v>360</v>
      </c>
      <c r="C94" s="198"/>
      <c r="D94" s="380">
        <f t="shared" si="9"/>
        <v>0</v>
      </c>
      <c r="E94" s="395"/>
      <c r="F94" s="396"/>
    </row>
    <row r="95" s="181" customFormat="true" hidden="true" spans="1:6">
      <c r="A95" s="382">
        <v>2010908</v>
      </c>
      <c r="B95" s="388" t="s">
        <v>347</v>
      </c>
      <c r="C95" s="198"/>
      <c r="D95" s="380">
        <f t="shared" si="9"/>
        <v>0</v>
      </c>
      <c r="E95" s="395"/>
      <c r="F95" s="396"/>
    </row>
    <row r="96" s="181" customFormat="true" hidden="true" spans="1:6">
      <c r="A96" s="382">
        <v>2010909</v>
      </c>
      <c r="B96" s="388" t="s">
        <v>361</v>
      </c>
      <c r="C96" s="198"/>
      <c r="D96" s="380">
        <f t="shared" si="9"/>
        <v>0</v>
      </c>
      <c r="E96" s="395"/>
      <c r="F96" s="396"/>
    </row>
    <row r="97" s="181" customFormat="true" hidden="true" spans="1:6">
      <c r="A97" s="382">
        <v>2010910</v>
      </c>
      <c r="B97" s="388" t="s">
        <v>362</v>
      </c>
      <c r="C97" s="198"/>
      <c r="D97" s="380">
        <f t="shared" si="9"/>
        <v>0</v>
      </c>
      <c r="E97" s="395"/>
      <c r="F97" s="396"/>
    </row>
    <row r="98" s="181" customFormat="true" hidden="true" spans="1:6">
      <c r="A98" s="382">
        <v>2010911</v>
      </c>
      <c r="B98" s="388" t="s">
        <v>363</v>
      </c>
      <c r="C98" s="198"/>
      <c r="D98" s="380">
        <f t="shared" si="9"/>
        <v>0</v>
      </c>
      <c r="E98" s="395"/>
      <c r="F98" s="396"/>
    </row>
    <row r="99" s="181" customFormat="true" hidden="true" spans="1:6">
      <c r="A99" s="382">
        <v>2010912</v>
      </c>
      <c r="B99" s="388" t="s">
        <v>364</v>
      </c>
      <c r="C99" s="198"/>
      <c r="D99" s="380">
        <f t="shared" si="9"/>
        <v>0</v>
      </c>
      <c r="E99" s="395"/>
      <c r="F99" s="396"/>
    </row>
    <row r="100" s="181" customFormat="true" hidden="true" spans="1:6">
      <c r="A100" s="382">
        <v>2010950</v>
      </c>
      <c r="B100" s="383" t="s">
        <v>315</v>
      </c>
      <c r="C100" s="198"/>
      <c r="D100" s="380">
        <f t="shared" si="9"/>
        <v>0</v>
      </c>
      <c r="E100" s="395"/>
      <c r="F100" s="396"/>
    </row>
    <row r="101" s="181" customFormat="true" hidden="true" spans="1:6">
      <c r="A101" s="382">
        <v>2010999</v>
      </c>
      <c r="B101" s="383" t="s">
        <v>365</v>
      </c>
      <c r="C101" s="198"/>
      <c r="D101" s="380">
        <f t="shared" si="9"/>
        <v>0</v>
      </c>
      <c r="E101" s="395"/>
      <c r="F101" s="396"/>
    </row>
    <row r="102" s="360" customFormat="true" spans="1:8">
      <c r="A102" s="377">
        <v>20111</v>
      </c>
      <c r="B102" s="401" t="s">
        <v>366</v>
      </c>
      <c r="C102" s="379">
        <f t="shared" ref="C102:H102" si="12">SUM(C103:C110)</f>
        <v>2020</v>
      </c>
      <c r="D102" s="380">
        <f t="shared" si="9"/>
        <v>1900</v>
      </c>
      <c r="E102" s="224">
        <f>(D102/C102-1)</f>
        <v>-0.0594059405940595</v>
      </c>
      <c r="F102" s="397">
        <f t="shared" si="12"/>
        <v>1874</v>
      </c>
      <c r="G102" s="402">
        <f t="shared" si="12"/>
        <v>0</v>
      </c>
      <c r="H102" s="402">
        <f t="shared" si="12"/>
        <v>26</v>
      </c>
    </row>
    <row r="103" s="360" customFormat="true" spans="1:6">
      <c r="A103" s="377">
        <v>2011101</v>
      </c>
      <c r="B103" s="378" t="s">
        <v>306</v>
      </c>
      <c r="C103" s="381">
        <v>1960</v>
      </c>
      <c r="D103" s="380">
        <f t="shared" si="9"/>
        <v>1844</v>
      </c>
      <c r="E103" s="224">
        <f>(D103/C103-1)</f>
        <v>-0.0591836734693878</v>
      </c>
      <c r="F103" s="380">
        <v>1844</v>
      </c>
    </row>
    <row r="104" s="360" customFormat="true" spans="1:8">
      <c r="A104" s="377">
        <v>2011102</v>
      </c>
      <c r="B104" s="378" t="s">
        <v>307</v>
      </c>
      <c r="C104" s="381">
        <v>60</v>
      </c>
      <c r="D104" s="380">
        <f t="shared" si="9"/>
        <v>56</v>
      </c>
      <c r="E104" s="224">
        <f>(D104/C104-1)</f>
        <v>-0.0666666666666667</v>
      </c>
      <c r="F104" s="380">
        <v>30</v>
      </c>
      <c r="H104" s="360">
        <v>26</v>
      </c>
    </row>
    <row r="105" s="181" customFormat="true" hidden="true" spans="1:6">
      <c r="A105" s="382">
        <v>2011103</v>
      </c>
      <c r="B105" s="388" t="s">
        <v>308</v>
      </c>
      <c r="C105" s="198"/>
      <c r="D105" s="380">
        <f t="shared" si="9"/>
        <v>0</v>
      </c>
      <c r="E105" s="395"/>
      <c r="F105" s="396"/>
    </row>
    <row r="106" s="181" customFormat="true" hidden="true" spans="1:6">
      <c r="A106" s="382">
        <v>2011104</v>
      </c>
      <c r="B106" s="383" t="s">
        <v>367</v>
      </c>
      <c r="C106" s="198"/>
      <c r="D106" s="380">
        <f t="shared" si="9"/>
        <v>0</v>
      </c>
      <c r="E106" s="395"/>
      <c r="F106" s="396"/>
    </row>
    <row r="107" s="181" customFormat="true" hidden="true" spans="1:6">
      <c r="A107" s="382">
        <v>2011105</v>
      </c>
      <c r="B107" s="383" t="s">
        <v>368</v>
      </c>
      <c r="C107" s="198"/>
      <c r="D107" s="380">
        <f t="shared" si="9"/>
        <v>0</v>
      </c>
      <c r="E107" s="395"/>
      <c r="F107" s="396"/>
    </row>
    <row r="108" s="181" customFormat="true" hidden="true" spans="1:6">
      <c r="A108" s="382">
        <v>2011106</v>
      </c>
      <c r="B108" s="383" t="s">
        <v>369</v>
      </c>
      <c r="C108" s="198"/>
      <c r="D108" s="380">
        <f t="shared" si="9"/>
        <v>0</v>
      </c>
      <c r="E108" s="395"/>
      <c r="F108" s="396"/>
    </row>
    <row r="109" s="181" customFormat="true" hidden="true" spans="1:6">
      <c r="A109" s="382">
        <v>2011150</v>
      </c>
      <c r="B109" s="388" t="s">
        <v>315</v>
      </c>
      <c r="C109" s="198"/>
      <c r="D109" s="380">
        <f t="shared" si="9"/>
        <v>0</v>
      </c>
      <c r="E109" s="395"/>
      <c r="F109" s="396"/>
    </row>
    <row r="110" s="181" customFormat="true" hidden="true" spans="1:6">
      <c r="A110" s="382">
        <v>2011199</v>
      </c>
      <c r="B110" s="388" t="s">
        <v>370</v>
      </c>
      <c r="C110" s="198"/>
      <c r="D110" s="380">
        <f t="shared" si="9"/>
        <v>0</v>
      </c>
      <c r="E110" s="395"/>
      <c r="F110" s="396"/>
    </row>
    <row r="111" s="360" customFormat="true" spans="1:8">
      <c r="A111" s="377">
        <v>20113</v>
      </c>
      <c r="B111" s="386" t="s">
        <v>371</v>
      </c>
      <c r="C111" s="379">
        <f t="shared" ref="C111:H111" si="13">SUM(C112:C121)</f>
        <v>1164</v>
      </c>
      <c r="D111" s="380">
        <f t="shared" si="9"/>
        <v>667</v>
      </c>
      <c r="E111" s="224">
        <f>(D111/C111-1)</f>
        <v>-0.426975945017182</v>
      </c>
      <c r="F111" s="397">
        <f t="shared" si="13"/>
        <v>494</v>
      </c>
      <c r="G111" s="402">
        <f t="shared" si="13"/>
        <v>0</v>
      </c>
      <c r="H111" s="402">
        <f t="shared" si="13"/>
        <v>173</v>
      </c>
    </row>
    <row r="112" s="360" customFormat="true" spans="1:8">
      <c r="A112" s="377">
        <v>2011301</v>
      </c>
      <c r="B112" s="378" t="s">
        <v>306</v>
      </c>
      <c r="C112" s="381">
        <v>447</v>
      </c>
      <c r="D112" s="380">
        <f t="shared" si="9"/>
        <v>487</v>
      </c>
      <c r="E112" s="224">
        <f>(D112/C112-1)</f>
        <v>0.0894854586129754</v>
      </c>
      <c r="F112" s="380">
        <v>485</v>
      </c>
      <c r="H112" s="360">
        <v>2</v>
      </c>
    </row>
    <row r="113" s="360" customFormat="true" spans="1:8">
      <c r="A113" s="377">
        <v>2011302</v>
      </c>
      <c r="B113" s="378" t="s">
        <v>307</v>
      </c>
      <c r="C113" s="381">
        <v>15</v>
      </c>
      <c r="D113" s="380">
        <f t="shared" si="9"/>
        <v>3</v>
      </c>
      <c r="E113" s="224">
        <f>(D113/C113-1)</f>
        <v>-0.8</v>
      </c>
      <c r="F113" s="380"/>
      <c r="H113" s="360">
        <v>3</v>
      </c>
    </row>
    <row r="114" s="181" customFormat="true" hidden="true" spans="1:6">
      <c r="A114" s="382">
        <v>2011303</v>
      </c>
      <c r="B114" s="388" t="s">
        <v>308</v>
      </c>
      <c r="C114" s="198"/>
      <c r="D114" s="380">
        <f t="shared" si="9"/>
        <v>0</v>
      </c>
      <c r="E114" s="395"/>
      <c r="F114" s="396"/>
    </row>
    <row r="115" s="181" customFormat="true" hidden="true" spans="1:6">
      <c r="A115" s="382">
        <v>2011304</v>
      </c>
      <c r="B115" s="383" t="s">
        <v>372</v>
      </c>
      <c r="C115" s="198"/>
      <c r="D115" s="380">
        <f t="shared" si="9"/>
        <v>0</v>
      </c>
      <c r="E115" s="395"/>
      <c r="F115" s="396"/>
    </row>
    <row r="116" s="181" customFormat="true" hidden="true" spans="1:6">
      <c r="A116" s="382">
        <v>2011305</v>
      </c>
      <c r="B116" s="383" t="s">
        <v>373</v>
      </c>
      <c r="C116" s="198"/>
      <c r="D116" s="380">
        <f t="shared" si="9"/>
        <v>0</v>
      </c>
      <c r="E116" s="395"/>
      <c r="F116" s="396"/>
    </row>
    <row r="117" s="181" customFormat="true" hidden="true" spans="1:6">
      <c r="A117" s="382">
        <v>2011306</v>
      </c>
      <c r="B117" s="383" t="s">
        <v>374</v>
      </c>
      <c r="C117" s="198"/>
      <c r="D117" s="380">
        <f t="shared" si="9"/>
        <v>0</v>
      </c>
      <c r="E117" s="395"/>
      <c r="F117" s="396"/>
    </row>
    <row r="118" s="181" customFormat="true" hidden="true" spans="1:6">
      <c r="A118" s="382">
        <v>2011307</v>
      </c>
      <c r="B118" s="388" t="s">
        <v>375</v>
      </c>
      <c r="C118" s="198"/>
      <c r="D118" s="380">
        <f t="shared" si="9"/>
        <v>0</v>
      </c>
      <c r="E118" s="395"/>
      <c r="F118" s="396"/>
    </row>
    <row r="119" s="360" customFormat="true" spans="1:8">
      <c r="A119" s="377">
        <v>2011308</v>
      </c>
      <c r="B119" s="378" t="s">
        <v>376</v>
      </c>
      <c r="C119" s="381">
        <v>702</v>
      </c>
      <c r="D119" s="380">
        <f t="shared" si="9"/>
        <v>177</v>
      </c>
      <c r="E119" s="224">
        <f>(D119/C119-1)</f>
        <v>-0.747863247863248</v>
      </c>
      <c r="F119" s="380">
        <v>9</v>
      </c>
      <c r="H119" s="360">
        <v>168</v>
      </c>
    </row>
    <row r="120" s="181" customFormat="true" hidden="true" spans="1:6">
      <c r="A120" s="382">
        <v>2011350</v>
      </c>
      <c r="B120" s="388" t="s">
        <v>315</v>
      </c>
      <c r="C120" s="198"/>
      <c r="D120" s="380">
        <f t="shared" si="9"/>
        <v>0</v>
      </c>
      <c r="E120" s="395"/>
      <c r="F120" s="396"/>
    </row>
    <row r="121" s="181" customFormat="true" hidden="true" spans="1:6">
      <c r="A121" s="382">
        <v>2011399</v>
      </c>
      <c r="B121" s="383" t="s">
        <v>377</v>
      </c>
      <c r="C121" s="198"/>
      <c r="D121" s="380">
        <f t="shared" si="9"/>
        <v>0</v>
      </c>
      <c r="E121" s="395" t="e">
        <f>(C121/#REF!-1)</f>
        <v>#REF!</v>
      </c>
      <c r="F121" s="396"/>
    </row>
    <row r="122" s="360" customFormat="true" hidden="true" spans="1:8">
      <c r="A122" s="377">
        <v>20114</v>
      </c>
      <c r="B122" s="384" t="s">
        <v>378</v>
      </c>
      <c r="C122" s="379">
        <f t="shared" ref="C122:H122" si="14">SUM(C123:C133)</f>
        <v>38</v>
      </c>
      <c r="D122" s="380">
        <f t="shared" si="9"/>
        <v>0</v>
      </c>
      <c r="E122" s="224">
        <f>(D122/C122-1)</f>
        <v>-1</v>
      </c>
      <c r="F122" s="397">
        <f t="shared" si="14"/>
        <v>0</v>
      </c>
      <c r="G122" s="402">
        <f t="shared" si="14"/>
        <v>0</v>
      </c>
      <c r="H122" s="402">
        <f t="shared" si="14"/>
        <v>0</v>
      </c>
    </row>
    <row r="123" s="181" customFormat="true" hidden="true" spans="1:6">
      <c r="A123" s="382">
        <v>2011401</v>
      </c>
      <c r="B123" s="383" t="s">
        <v>306</v>
      </c>
      <c r="C123" s="198"/>
      <c r="D123" s="380">
        <f t="shared" si="9"/>
        <v>0</v>
      </c>
      <c r="E123" s="395"/>
      <c r="F123" s="396"/>
    </row>
    <row r="124" s="181" customFormat="true" hidden="true" spans="1:6">
      <c r="A124" s="382">
        <v>2011402</v>
      </c>
      <c r="B124" s="385" t="s">
        <v>307</v>
      </c>
      <c r="C124" s="198"/>
      <c r="D124" s="380">
        <f t="shared" si="9"/>
        <v>0</v>
      </c>
      <c r="E124" s="395"/>
      <c r="F124" s="396"/>
    </row>
    <row r="125" s="181" customFormat="true" hidden="true" spans="1:6">
      <c r="A125" s="382">
        <v>2011403</v>
      </c>
      <c r="B125" s="388" t="s">
        <v>308</v>
      </c>
      <c r="C125" s="198"/>
      <c r="D125" s="380">
        <f t="shared" si="9"/>
        <v>0</v>
      </c>
      <c r="E125" s="395"/>
      <c r="F125" s="396"/>
    </row>
    <row r="126" s="181" customFormat="true" hidden="true" spans="1:6">
      <c r="A126" s="382">
        <v>2011404</v>
      </c>
      <c r="B126" s="388" t="s">
        <v>379</v>
      </c>
      <c r="C126" s="198"/>
      <c r="D126" s="380">
        <f t="shared" si="9"/>
        <v>0</v>
      </c>
      <c r="E126" s="395"/>
      <c r="F126" s="396"/>
    </row>
    <row r="127" s="181" customFormat="true" hidden="true" spans="1:6">
      <c r="A127" s="382">
        <v>2011405</v>
      </c>
      <c r="B127" s="388" t="s">
        <v>380</v>
      </c>
      <c r="C127" s="198"/>
      <c r="D127" s="380">
        <f t="shared" si="9"/>
        <v>0</v>
      </c>
      <c r="E127" s="395"/>
      <c r="F127" s="396"/>
    </row>
    <row r="128" s="181" customFormat="true" hidden="true" spans="1:6">
      <c r="A128" s="382">
        <v>2011408</v>
      </c>
      <c r="B128" s="383" t="s">
        <v>381</v>
      </c>
      <c r="C128" s="198"/>
      <c r="D128" s="380">
        <f t="shared" si="9"/>
        <v>0</v>
      </c>
      <c r="E128" s="395"/>
      <c r="F128" s="396"/>
    </row>
    <row r="129" s="360" customFormat="true" hidden="true" spans="1:6">
      <c r="A129" s="377">
        <v>2011409</v>
      </c>
      <c r="B129" s="378" t="s">
        <v>382</v>
      </c>
      <c r="C129" s="381">
        <v>38</v>
      </c>
      <c r="D129" s="380">
        <f t="shared" si="9"/>
        <v>0</v>
      </c>
      <c r="E129" s="224">
        <f>(D129/C129-1)</f>
        <v>-1</v>
      </c>
      <c r="F129" s="380"/>
    </row>
    <row r="130" s="181" customFormat="true" hidden="true" spans="1:6">
      <c r="A130" s="382">
        <v>2011410</v>
      </c>
      <c r="B130" s="388" t="s">
        <v>383</v>
      </c>
      <c r="C130" s="198"/>
      <c r="D130" s="380">
        <f t="shared" si="9"/>
        <v>0</v>
      </c>
      <c r="E130" s="395"/>
      <c r="F130" s="396"/>
    </row>
    <row r="131" s="181" customFormat="true" hidden="true" spans="1:6">
      <c r="A131" s="382">
        <v>2011411</v>
      </c>
      <c r="B131" s="388" t="s">
        <v>384</v>
      </c>
      <c r="C131" s="198"/>
      <c r="D131" s="380">
        <f t="shared" si="9"/>
        <v>0</v>
      </c>
      <c r="E131" s="395"/>
      <c r="F131" s="396"/>
    </row>
    <row r="132" s="181" customFormat="true" hidden="true" spans="1:6">
      <c r="A132" s="382">
        <v>2011450</v>
      </c>
      <c r="B132" s="388" t="s">
        <v>315</v>
      </c>
      <c r="C132" s="198"/>
      <c r="D132" s="380">
        <f t="shared" si="9"/>
        <v>0</v>
      </c>
      <c r="E132" s="395"/>
      <c r="F132" s="396"/>
    </row>
    <row r="133" s="181" customFormat="true" hidden="true" spans="1:6">
      <c r="A133" s="382">
        <v>2011499</v>
      </c>
      <c r="B133" s="388" t="s">
        <v>385</v>
      </c>
      <c r="C133" s="198"/>
      <c r="D133" s="380">
        <f t="shared" si="9"/>
        <v>0</v>
      </c>
      <c r="E133" s="395"/>
      <c r="F133" s="396"/>
    </row>
    <row r="134" s="181" customFormat="true" spans="1:8">
      <c r="A134" s="382">
        <v>20123</v>
      </c>
      <c r="B134" s="399" t="s">
        <v>386</v>
      </c>
      <c r="C134" s="400">
        <f t="shared" ref="C134:H134" si="15">SUM(C135:C140)</f>
        <v>0</v>
      </c>
      <c r="D134" s="380">
        <f t="shared" si="9"/>
        <v>25</v>
      </c>
      <c r="E134" s="224">
        <v>0</v>
      </c>
      <c r="F134" s="403">
        <f t="shared" si="15"/>
        <v>0</v>
      </c>
      <c r="G134" s="404">
        <f t="shared" si="15"/>
        <v>0</v>
      </c>
      <c r="H134" s="404">
        <f t="shared" si="15"/>
        <v>25</v>
      </c>
    </row>
    <row r="135" s="181" customFormat="true" hidden="true" spans="1:6">
      <c r="A135" s="382">
        <v>2012301</v>
      </c>
      <c r="B135" s="388" t="s">
        <v>306</v>
      </c>
      <c r="C135" s="198"/>
      <c r="D135" s="380">
        <f t="shared" si="9"/>
        <v>0</v>
      </c>
      <c r="E135" s="395"/>
      <c r="F135" s="396"/>
    </row>
    <row r="136" s="181" customFormat="true" hidden="true" spans="1:6">
      <c r="A136" s="382">
        <v>2012302</v>
      </c>
      <c r="B136" s="388" t="s">
        <v>307</v>
      </c>
      <c r="C136" s="198"/>
      <c r="D136" s="380">
        <f t="shared" si="9"/>
        <v>0</v>
      </c>
      <c r="E136" s="395" t="e">
        <f>(C136/#REF!-1)</f>
        <v>#REF!</v>
      </c>
      <c r="F136" s="396"/>
    </row>
    <row r="137" s="181" customFormat="true" hidden="true" spans="1:6">
      <c r="A137" s="382">
        <v>2012303</v>
      </c>
      <c r="B137" s="383" t="s">
        <v>308</v>
      </c>
      <c r="C137" s="198"/>
      <c r="D137" s="380">
        <f t="shared" si="9"/>
        <v>0</v>
      </c>
      <c r="E137" s="395"/>
      <c r="F137" s="396"/>
    </row>
    <row r="138" s="181" customFormat="true" spans="1:8">
      <c r="A138" s="382">
        <v>2012304</v>
      </c>
      <c r="B138" s="383" t="s">
        <v>387</v>
      </c>
      <c r="C138" s="198"/>
      <c r="D138" s="380">
        <f t="shared" ref="D138:D201" si="16">F138+G138+H138</f>
        <v>25</v>
      </c>
      <c r="E138" s="395"/>
      <c r="F138" s="396"/>
      <c r="H138" s="181">
        <v>25</v>
      </c>
    </row>
    <row r="139" s="181" customFormat="true" hidden="true" spans="1:6">
      <c r="A139" s="382">
        <v>2012350</v>
      </c>
      <c r="B139" s="383" t="s">
        <v>315</v>
      </c>
      <c r="C139" s="198"/>
      <c r="D139" s="380">
        <f t="shared" si="16"/>
        <v>0</v>
      </c>
      <c r="E139" s="395"/>
      <c r="F139" s="396"/>
    </row>
    <row r="140" s="181" customFormat="true" hidden="true" spans="1:6">
      <c r="A140" s="382">
        <v>2012399</v>
      </c>
      <c r="B140" s="385" t="s">
        <v>388</v>
      </c>
      <c r="C140" s="198"/>
      <c r="D140" s="380">
        <f t="shared" si="16"/>
        <v>0</v>
      </c>
      <c r="E140" s="395" t="e">
        <f>(C140/#REF!-1)</f>
        <v>#REF!</v>
      </c>
      <c r="F140" s="396"/>
    </row>
    <row r="141" s="181" customFormat="true" hidden="true" spans="1:8">
      <c r="A141" s="382">
        <v>20125</v>
      </c>
      <c r="B141" s="399" t="s">
        <v>389</v>
      </c>
      <c r="C141" s="400">
        <f t="shared" ref="C141:H141" si="17">SUM(C142:C148)</f>
        <v>0</v>
      </c>
      <c r="D141" s="380">
        <f t="shared" si="16"/>
        <v>0</v>
      </c>
      <c r="E141" s="395"/>
      <c r="F141" s="403">
        <f t="shared" si="17"/>
        <v>0</v>
      </c>
      <c r="G141" s="404">
        <f t="shared" si="17"/>
        <v>0</v>
      </c>
      <c r="H141" s="404">
        <f t="shared" si="17"/>
        <v>0</v>
      </c>
    </row>
    <row r="142" s="181" customFormat="true" hidden="true" spans="1:6">
      <c r="A142" s="382">
        <v>2012501</v>
      </c>
      <c r="B142" s="388" t="s">
        <v>306</v>
      </c>
      <c r="C142" s="198"/>
      <c r="D142" s="380">
        <f t="shared" si="16"/>
        <v>0</v>
      </c>
      <c r="E142" s="395"/>
      <c r="F142" s="396"/>
    </row>
    <row r="143" s="181" customFormat="true" hidden="true" spans="1:6">
      <c r="A143" s="382">
        <v>2012502</v>
      </c>
      <c r="B143" s="383" t="s">
        <v>307</v>
      </c>
      <c r="C143" s="198"/>
      <c r="D143" s="380">
        <f t="shared" si="16"/>
        <v>0</v>
      </c>
      <c r="E143" s="395"/>
      <c r="F143" s="396"/>
    </row>
    <row r="144" s="181" customFormat="true" hidden="true" spans="1:6">
      <c r="A144" s="382">
        <v>2012503</v>
      </c>
      <c r="B144" s="383" t="s">
        <v>308</v>
      </c>
      <c r="C144" s="198"/>
      <c r="D144" s="380">
        <f t="shared" si="16"/>
        <v>0</v>
      </c>
      <c r="E144" s="395"/>
      <c r="F144" s="396"/>
    </row>
    <row r="145" s="181" customFormat="true" hidden="true" spans="1:6">
      <c r="A145" s="382">
        <v>2012504</v>
      </c>
      <c r="B145" s="383" t="s">
        <v>390</v>
      </c>
      <c r="C145" s="198"/>
      <c r="D145" s="380">
        <f t="shared" si="16"/>
        <v>0</v>
      </c>
      <c r="E145" s="395"/>
      <c r="F145" s="396"/>
    </row>
    <row r="146" s="181" customFormat="true" hidden="true" spans="1:6">
      <c r="A146" s="382">
        <v>2012505</v>
      </c>
      <c r="B146" s="385" t="s">
        <v>391</v>
      </c>
      <c r="C146" s="198"/>
      <c r="D146" s="380">
        <f t="shared" si="16"/>
        <v>0</v>
      </c>
      <c r="E146" s="395"/>
      <c r="F146" s="396"/>
    </row>
    <row r="147" s="181" customFormat="true" hidden="true" spans="1:6">
      <c r="A147" s="382">
        <v>2012550</v>
      </c>
      <c r="B147" s="388" t="s">
        <v>315</v>
      </c>
      <c r="C147" s="198"/>
      <c r="D147" s="380">
        <f t="shared" si="16"/>
        <v>0</v>
      </c>
      <c r="E147" s="395"/>
      <c r="F147" s="396"/>
    </row>
    <row r="148" s="181" customFormat="true" hidden="true" spans="1:6">
      <c r="A148" s="382">
        <v>2012599</v>
      </c>
      <c r="B148" s="388" t="s">
        <v>392</v>
      </c>
      <c r="C148" s="198"/>
      <c r="D148" s="380">
        <f t="shared" si="16"/>
        <v>0</v>
      </c>
      <c r="E148" s="395"/>
      <c r="F148" s="396"/>
    </row>
    <row r="149" s="360" customFormat="true" spans="1:8">
      <c r="A149" s="377">
        <v>20126</v>
      </c>
      <c r="B149" s="384" t="s">
        <v>393</v>
      </c>
      <c r="C149" s="379">
        <f t="shared" ref="C149:H149" si="18">SUM(C150:C154)</f>
        <v>315</v>
      </c>
      <c r="D149" s="380">
        <f t="shared" si="16"/>
        <v>384</v>
      </c>
      <c r="E149" s="224">
        <f>(D149/C149-1)</f>
        <v>0.219047619047619</v>
      </c>
      <c r="F149" s="397">
        <f t="shared" si="18"/>
        <v>384</v>
      </c>
      <c r="G149" s="402">
        <f t="shared" si="18"/>
        <v>0</v>
      </c>
      <c r="H149" s="402">
        <f t="shared" si="18"/>
        <v>0</v>
      </c>
    </row>
    <row r="150" s="360" customFormat="true" spans="1:6">
      <c r="A150" s="377">
        <v>2012601</v>
      </c>
      <c r="B150" s="384" t="s">
        <v>306</v>
      </c>
      <c r="C150" s="381">
        <v>237</v>
      </c>
      <c r="D150" s="380">
        <f t="shared" si="16"/>
        <v>217</v>
      </c>
      <c r="E150" s="224">
        <f>(D150/C150-1)</f>
        <v>-0.0843881856540084</v>
      </c>
      <c r="F150" s="380">
        <v>217</v>
      </c>
    </row>
    <row r="151" s="360" customFormat="true" spans="1:6">
      <c r="A151" s="377">
        <v>2012602</v>
      </c>
      <c r="B151" s="384" t="s">
        <v>307</v>
      </c>
      <c r="C151" s="381">
        <v>28</v>
      </c>
      <c r="D151" s="380">
        <f t="shared" si="16"/>
        <v>17</v>
      </c>
      <c r="E151" s="224">
        <f>(D151/C151-1)</f>
        <v>-0.392857142857143</v>
      </c>
      <c r="F151" s="380">
        <v>17</v>
      </c>
    </row>
    <row r="152" s="181" customFormat="true" hidden="true" spans="1:6">
      <c r="A152" s="382">
        <v>2012603</v>
      </c>
      <c r="B152" s="388" t="s">
        <v>308</v>
      </c>
      <c r="C152" s="198"/>
      <c r="D152" s="380">
        <f t="shared" si="16"/>
        <v>0</v>
      </c>
      <c r="E152" s="395"/>
      <c r="F152" s="396"/>
    </row>
    <row r="153" s="360" customFormat="true" spans="1:6">
      <c r="A153" s="377">
        <v>2012604</v>
      </c>
      <c r="B153" s="389" t="s">
        <v>394</v>
      </c>
      <c r="C153" s="381">
        <v>50</v>
      </c>
      <c r="D153" s="380">
        <f t="shared" si="16"/>
        <v>150</v>
      </c>
      <c r="E153" s="224">
        <f>(D153/C153-1)</f>
        <v>2</v>
      </c>
      <c r="F153" s="380">
        <v>150</v>
      </c>
    </row>
    <row r="154" s="181" customFormat="true" hidden="true" spans="1:6">
      <c r="A154" s="382">
        <v>2012699</v>
      </c>
      <c r="B154" s="388" t="s">
        <v>395</v>
      </c>
      <c r="C154" s="198"/>
      <c r="D154" s="380">
        <f t="shared" si="16"/>
        <v>0</v>
      </c>
      <c r="E154" s="395"/>
      <c r="F154" s="396"/>
    </row>
    <row r="155" s="360" customFormat="true" spans="1:8">
      <c r="A155" s="377">
        <v>20128</v>
      </c>
      <c r="B155" s="384" t="s">
        <v>396</v>
      </c>
      <c r="C155" s="379">
        <f t="shared" ref="C155:H155" si="19">SUM(C156:C161)</f>
        <v>150</v>
      </c>
      <c r="D155" s="380">
        <f t="shared" si="16"/>
        <v>160</v>
      </c>
      <c r="E155" s="224">
        <f>(D155/C155-1)</f>
        <v>0.0666666666666667</v>
      </c>
      <c r="F155" s="397">
        <f t="shared" si="19"/>
        <v>153</v>
      </c>
      <c r="G155" s="402">
        <f t="shared" si="19"/>
        <v>0</v>
      </c>
      <c r="H155" s="402">
        <f t="shared" si="19"/>
        <v>7</v>
      </c>
    </row>
    <row r="156" s="360" customFormat="true" spans="1:8">
      <c r="A156" s="377">
        <v>2012801</v>
      </c>
      <c r="B156" s="384" t="s">
        <v>306</v>
      </c>
      <c r="C156" s="381">
        <v>130</v>
      </c>
      <c r="D156" s="380">
        <f t="shared" si="16"/>
        <v>135</v>
      </c>
      <c r="E156" s="224">
        <f>(D156/C156-1)</f>
        <v>0.0384615384615385</v>
      </c>
      <c r="F156" s="380">
        <v>134</v>
      </c>
      <c r="H156" s="360">
        <v>1</v>
      </c>
    </row>
    <row r="157" s="360" customFormat="true" spans="1:8">
      <c r="A157" s="377">
        <v>2012802</v>
      </c>
      <c r="B157" s="384" t="s">
        <v>307</v>
      </c>
      <c r="C157" s="381">
        <v>20</v>
      </c>
      <c r="D157" s="380">
        <f t="shared" si="16"/>
        <v>25</v>
      </c>
      <c r="E157" s="224">
        <f>(D157/C157-1)</f>
        <v>0.25</v>
      </c>
      <c r="F157" s="380">
        <v>19</v>
      </c>
      <c r="H157" s="360">
        <v>6</v>
      </c>
    </row>
    <row r="158" s="181" customFormat="true" hidden="true" spans="1:6">
      <c r="A158" s="382">
        <v>2012803</v>
      </c>
      <c r="B158" s="385" t="s">
        <v>308</v>
      </c>
      <c r="C158" s="198"/>
      <c r="D158" s="380">
        <f t="shared" si="16"/>
        <v>0</v>
      </c>
      <c r="E158" s="395"/>
      <c r="F158" s="396"/>
    </row>
    <row r="159" s="181" customFormat="true" hidden="true" spans="1:6">
      <c r="A159" s="382">
        <v>2012804</v>
      </c>
      <c r="B159" s="388" t="s">
        <v>320</v>
      </c>
      <c r="C159" s="225"/>
      <c r="D159" s="380">
        <f t="shared" si="16"/>
        <v>0</v>
      </c>
      <c r="E159" s="395"/>
      <c r="F159" s="405"/>
    </row>
    <row r="160" s="181" customFormat="true" hidden="true" spans="1:6">
      <c r="A160" s="382">
        <v>2012850</v>
      </c>
      <c r="B160" s="388" t="s">
        <v>315</v>
      </c>
      <c r="C160" s="198"/>
      <c r="D160" s="380">
        <f t="shared" si="16"/>
        <v>0</v>
      </c>
      <c r="E160" s="395"/>
      <c r="F160" s="396"/>
    </row>
    <row r="161" s="181" customFormat="true" hidden="true" spans="1:6">
      <c r="A161" s="382">
        <v>2012899</v>
      </c>
      <c r="B161" s="388" t="s">
        <v>397</v>
      </c>
      <c r="C161" s="198"/>
      <c r="D161" s="380">
        <f t="shared" si="16"/>
        <v>0</v>
      </c>
      <c r="E161" s="395"/>
      <c r="F161" s="396"/>
    </row>
    <row r="162" s="360" customFormat="true" spans="1:8">
      <c r="A162" s="377">
        <v>20129</v>
      </c>
      <c r="B162" s="384" t="s">
        <v>398</v>
      </c>
      <c r="C162" s="379">
        <f t="shared" ref="C162:H162" si="20">SUM(C163:C168)</f>
        <v>738</v>
      </c>
      <c r="D162" s="380">
        <f t="shared" si="16"/>
        <v>724</v>
      </c>
      <c r="E162" s="224">
        <f>(D162/C162-1)</f>
        <v>-0.018970189701897</v>
      </c>
      <c r="F162" s="397">
        <f t="shared" si="20"/>
        <v>702</v>
      </c>
      <c r="G162" s="402">
        <f t="shared" si="20"/>
        <v>0</v>
      </c>
      <c r="H162" s="402">
        <f t="shared" si="20"/>
        <v>22</v>
      </c>
    </row>
    <row r="163" s="360" customFormat="true" spans="1:8">
      <c r="A163" s="377">
        <v>2012901</v>
      </c>
      <c r="B163" s="384" t="s">
        <v>306</v>
      </c>
      <c r="C163" s="381">
        <v>282</v>
      </c>
      <c r="D163" s="380">
        <f t="shared" si="16"/>
        <v>318</v>
      </c>
      <c r="E163" s="224">
        <f>(D163/C163-1)</f>
        <v>0.127659574468085</v>
      </c>
      <c r="F163" s="380">
        <v>317</v>
      </c>
      <c r="H163" s="360">
        <v>1</v>
      </c>
    </row>
    <row r="164" s="360" customFormat="true" spans="1:8">
      <c r="A164" s="377">
        <v>2012902</v>
      </c>
      <c r="B164" s="384" t="s">
        <v>307</v>
      </c>
      <c r="C164" s="381">
        <v>52</v>
      </c>
      <c r="D164" s="380">
        <f t="shared" si="16"/>
        <v>42</v>
      </c>
      <c r="E164" s="224">
        <f>(D164/C164-1)</f>
        <v>-0.192307692307692</v>
      </c>
      <c r="F164" s="380">
        <v>41</v>
      </c>
      <c r="H164" s="360">
        <v>1</v>
      </c>
    </row>
    <row r="165" s="181" customFormat="true" hidden="true" spans="1:6">
      <c r="A165" s="382">
        <v>2012903</v>
      </c>
      <c r="B165" s="388" t="s">
        <v>308</v>
      </c>
      <c r="C165" s="198"/>
      <c r="D165" s="380">
        <f t="shared" si="16"/>
        <v>0</v>
      </c>
      <c r="E165" s="395"/>
      <c r="F165" s="396"/>
    </row>
    <row r="166" s="181" customFormat="true" hidden="true" spans="1:6">
      <c r="A166" s="382">
        <v>2012906</v>
      </c>
      <c r="B166" s="388" t="s">
        <v>399</v>
      </c>
      <c r="C166" s="198"/>
      <c r="D166" s="380">
        <f t="shared" si="16"/>
        <v>0</v>
      </c>
      <c r="E166" s="395"/>
      <c r="F166" s="396"/>
    </row>
    <row r="167" s="181" customFormat="true" hidden="true" spans="1:6">
      <c r="A167" s="382">
        <v>2012950</v>
      </c>
      <c r="B167" s="383" t="s">
        <v>315</v>
      </c>
      <c r="C167" s="198"/>
      <c r="D167" s="380">
        <f t="shared" si="16"/>
        <v>0</v>
      </c>
      <c r="E167" s="395"/>
      <c r="F167" s="396"/>
    </row>
    <row r="168" s="360" customFormat="true" spans="1:8">
      <c r="A168" s="377">
        <v>2012999</v>
      </c>
      <c r="B168" s="384" t="s">
        <v>400</v>
      </c>
      <c r="C168" s="381">
        <v>404</v>
      </c>
      <c r="D168" s="380">
        <f t="shared" si="16"/>
        <v>364</v>
      </c>
      <c r="E168" s="224">
        <f>(D168/C168-1)</f>
        <v>-0.099009900990099</v>
      </c>
      <c r="F168" s="380">
        <v>344</v>
      </c>
      <c r="H168" s="360">
        <v>20</v>
      </c>
    </row>
    <row r="169" s="360" customFormat="true" spans="1:8">
      <c r="A169" s="377">
        <v>20131</v>
      </c>
      <c r="B169" s="384" t="s">
        <v>401</v>
      </c>
      <c r="C169" s="379">
        <f t="shared" ref="C169:H169" si="21">SUM(C170:C175)</f>
        <v>848</v>
      </c>
      <c r="D169" s="380">
        <f t="shared" si="16"/>
        <v>1284</v>
      </c>
      <c r="E169" s="224">
        <f>(D169/C169-1)</f>
        <v>0.514150943396226</v>
      </c>
      <c r="F169" s="397">
        <f t="shared" si="21"/>
        <v>1158</v>
      </c>
      <c r="G169" s="402">
        <f t="shared" si="21"/>
        <v>0</v>
      </c>
      <c r="H169" s="402">
        <f t="shared" si="21"/>
        <v>126</v>
      </c>
    </row>
    <row r="170" s="360" customFormat="true" spans="1:8">
      <c r="A170" s="377">
        <v>2013101</v>
      </c>
      <c r="B170" s="384" t="s">
        <v>306</v>
      </c>
      <c r="C170" s="381">
        <v>518</v>
      </c>
      <c r="D170" s="380">
        <f t="shared" si="16"/>
        <v>566</v>
      </c>
      <c r="E170" s="224">
        <f>(D170/C170-1)</f>
        <v>0.0926640926640927</v>
      </c>
      <c r="F170" s="380">
        <v>563</v>
      </c>
      <c r="H170" s="360">
        <v>3</v>
      </c>
    </row>
    <row r="171" s="360" customFormat="true" spans="1:8">
      <c r="A171" s="377">
        <v>2013102</v>
      </c>
      <c r="B171" s="378" t="s">
        <v>307</v>
      </c>
      <c r="C171" s="381">
        <v>330</v>
      </c>
      <c r="D171" s="380">
        <f t="shared" si="16"/>
        <v>258</v>
      </c>
      <c r="E171" s="224">
        <f>(D171/C171-1)</f>
        <v>-0.218181818181818</v>
      </c>
      <c r="F171" s="380">
        <v>135</v>
      </c>
      <c r="H171" s="360">
        <v>123</v>
      </c>
    </row>
    <row r="172" s="181" customFormat="true" hidden="true" spans="1:6">
      <c r="A172" s="382">
        <v>2013103</v>
      </c>
      <c r="B172" s="388" t="s">
        <v>308</v>
      </c>
      <c r="C172" s="198"/>
      <c r="D172" s="380">
        <f t="shared" si="16"/>
        <v>0</v>
      </c>
      <c r="E172" s="395"/>
      <c r="F172" s="396"/>
    </row>
    <row r="173" s="181" customFormat="true" hidden="true" spans="1:6">
      <c r="A173" s="382">
        <v>2013105</v>
      </c>
      <c r="B173" s="388" t="s">
        <v>402</v>
      </c>
      <c r="C173" s="198"/>
      <c r="D173" s="380">
        <f t="shared" si="16"/>
        <v>0</v>
      </c>
      <c r="E173" s="395"/>
      <c r="F173" s="396"/>
    </row>
    <row r="174" s="181" customFormat="true" hidden="true" spans="1:6">
      <c r="A174" s="382">
        <v>2013150</v>
      </c>
      <c r="B174" s="383" t="s">
        <v>315</v>
      </c>
      <c r="C174" s="198"/>
      <c r="D174" s="380">
        <f t="shared" si="16"/>
        <v>0</v>
      </c>
      <c r="E174" s="395"/>
      <c r="F174" s="396"/>
    </row>
    <row r="175" s="181" customFormat="true" spans="1:6">
      <c r="A175" s="382">
        <v>2013199</v>
      </c>
      <c r="B175" s="383" t="s">
        <v>403</v>
      </c>
      <c r="C175" s="198"/>
      <c r="D175" s="380">
        <f t="shared" si="16"/>
        <v>460</v>
      </c>
      <c r="E175" s="395"/>
      <c r="F175" s="396">
        <v>460</v>
      </c>
    </row>
    <row r="176" s="360" customFormat="true" spans="1:8">
      <c r="A176" s="377">
        <v>20132</v>
      </c>
      <c r="B176" s="384" t="s">
        <v>404</v>
      </c>
      <c r="C176" s="379">
        <f t="shared" ref="C176:H176" si="22">SUM(C177:C182)</f>
        <v>902</v>
      </c>
      <c r="D176" s="380">
        <f t="shared" si="16"/>
        <v>1320</v>
      </c>
      <c r="E176" s="224">
        <f>(D176/C176-1)</f>
        <v>0.463414634146341</v>
      </c>
      <c r="F176" s="397">
        <f t="shared" si="22"/>
        <v>1056</v>
      </c>
      <c r="G176" s="402">
        <f t="shared" si="22"/>
        <v>0</v>
      </c>
      <c r="H176" s="402">
        <f t="shared" si="22"/>
        <v>264</v>
      </c>
    </row>
    <row r="177" s="360" customFormat="true" spans="1:8">
      <c r="A177" s="377">
        <v>2013201</v>
      </c>
      <c r="B177" s="378" t="s">
        <v>306</v>
      </c>
      <c r="C177" s="381">
        <v>445</v>
      </c>
      <c r="D177" s="380">
        <f t="shared" si="16"/>
        <v>419</v>
      </c>
      <c r="E177" s="224">
        <f>(D177/C177-1)</f>
        <v>-0.0584269662921348</v>
      </c>
      <c r="F177" s="380">
        <v>417</v>
      </c>
      <c r="H177" s="360">
        <v>2</v>
      </c>
    </row>
    <row r="178" s="360" customFormat="true" spans="1:8">
      <c r="A178" s="377">
        <v>2013202</v>
      </c>
      <c r="B178" s="378" t="s">
        <v>307</v>
      </c>
      <c r="C178" s="381">
        <v>457</v>
      </c>
      <c r="D178" s="380">
        <f t="shared" si="16"/>
        <v>241</v>
      </c>
      <c r="E178" s="224">
        <f>(D178/C178-1)</f>
        <v>-0.472647702407002</v>
      </c>
      <c r="F178" s="380">
        <v>69</v>
      </c>
      <c r="H178" s="360">
        <f>54+118</f>
        <v>172</v>
      </c>
    </row>
    <row r="179" s="181" customFormat="true" hidden="true" spans="1:6">
      <c r="A179" s="382">
        <v>2013203</v>
      </c>
      <c r="B179" s="388" t="s">
        <v>308</v>
      </c>
      <c r="C179" s="198"/>
      <c r="D179" s="380">
        <f t="shared" si="16"/>
        <v>0</v>
      </c>
      <c r="E179" s="395"/>
      <c r="F179" s="396"/>
    </row>
    <row r="180" s="181" customFormat="true" hidden="true" spans="1:6">
      <c r="A180" s="382">
        <v>2013204</v>
      </c>
      <c r="B180" s="388" t="s">
        <v>405</v>
      </c>
      <c r="C180" s="198"/>
      <c r="D180" s="380">
        <f t="shared" si="16"/>
        <v>0</v>
      </c>
      <c r="E180" s="395"/>
      <c r="F180" s="396"/>
    </row>
    <row r="181" s="181" customFormat="true" hidden="true" spans="1:6">
      <c r="A181" s="382">
        <v>2013250</v>
      </c>
      <c r="B181" s="388" t="s">
        <v>315</v>
      </c>
      <c r="C181" s="198"/>
      <c r="D181" s="380">
        <f t="shared" si="16"/>
        <v>0</v>
      </c>
      <c r="E181" s="395"/>
      <c r="F181" s="396"/>
    </row>
    <row r="182" s="181" customFormat="true" spans="1:8">
      <c r="A182" s="382">
        <v>2013299</v>
      </c>
      <c r="B182" s="383" t="s">
        <v>406</v>
      </c>
      <c r="C182" s="198"/>
      <c r="D182" s="380">
        <f t="shared" si="16"/>
        <v>660</v>
      </c>
      <c r="E182" s="395"/>
      <c r="F182" s="396">
        <v>570</v>
      </c>
      <c r="H182" s="181">
        <v>90</v>
      </c>
    </row>
    <row r="183" s="360" customFormat="true" spans="1:8">
      <c r="A183" s="377">
        <v>20133</v>
      </c>
      <c r="B183" s="384" t="s">
        <v>407</v>
      </c>
      <c r="C183" s="379">
        <f t="shared" ref="C183:H183" si="23">SUM(C184:C189)</f>
        <v>348</v>
      </c>
      <c r="D183" s="380">
        <f t="shared" si="16"/>
        <v>604</v>
      </c>
      <c r="E183" s="224">
        <f>(D183/C183-1)</f>
        <v>0.735632183908046</v>
      </c>
      <c r="F183" s="397">
        <f t="shared" si="23"/>
        <v>518</v>
      </c>
      <c r="G183" s="402">
        <f t="shared" si="23"/>
        <v>0</v>
      </c>
      <c r="H183" s="402">
        <f t="shared" si="23"/>
        <v>86</v>
      </c>
    </row>
    <row r="184" s="360" customFormat="true" spans="1:6">
      <c r="A184" s="377">
        <v>2013301</v>
      </c>
      <c r="B184" s="386" t="s">
        <v>306</v>
      </c>
      <c r="C184" s="381">
        <v>265</v>
      </c>
      <c r="D184" s="380">
        <f t="shared" si="16"/>
        <v>298</v>
      </c>
      <c r="E184" s="224">
        <f>(D184/C184-1)</f>
        <v>0.124528301886792</v>
      </c>
      <c r="F184" s="380">
        <v>298</v>
      </c>
    </row>
    <row r="185" s="360" customFormat="true" spans="1:8">
      <c r="A185" s="377">
        <v>2013302</v>
      </c>
      <c r="B185" s="378" t="s">
        <v>307</v>
      </c>
      <c r="C185" s="381">
        <v>83</v>
      </c>
      <c r="D185" s="380">
        <f t="shared" si="16"/>
        <v>182</v>
      </c>
      <c r="E185" s="224">
        <f>(D185/C185-1)</f>
        <v>1.19277108433735</v>
      </c>
      <c r="F185" s="380">
        <v>96</v>
      </c>
      <c r="H185" s="360">
        <v>86</v>
      </c>
    </row>
    <row r="186" s="181" customFormat="true" hidden="true" spans="1:6">
      <c r="A186" s="382">
        <v>2013303</v>
      </c>
      <c r="B186" s="388" t="s">
        <v>308</v>
      </c>
      <c r="C186" s="198"/>
      <c r="D186" s="380">
        <f t="shared" si="16"/>
        <v>0</v>
      </c>
      <c r="E186" s="395"/>
      <c r="F186" s="396"/>
    </row>
    <row r="187" s="181" customFormat="true" hidden="true" spans="1:6">
      <c r="A187" s="382">
        <v>2013304</v>
      </c>
      <c r="B187" s="388" t="s">
        <v>408</v>
      </c>
      <c r="C187" s="198"/>
      <c r="D187" s="380">
        <f t="shared" si="16"/>
        <v>0</v>
      </c>
      <c r="E187" s="395"/>
      <c r="F187" s="396"/>
    </row>
    <row r="188" s="181" customFormat="true" spans="1:6">
      <c r="A188" s="382">
        <v>2013350</v>
      </c>
      <c r="B188" s="388" t="s">
        <v>315</v>
      </c>
      <c r="C188" s="198"/>
      <c r="D188" s="380">
        <f t="shared" si="16"/>
        <v>119</v>
      </c>
      <c r="E188" s="395"/>
      <c r="F188" s="396">
        <v>119</v>
      </c>
    </row>
    <row r="189" s="181" customFormat="true" spans="1:6">
      <c r="A189" s="382">
        <v>2013399</v>
      </c>
      <c r="B189" s="383" t="s">
        <v>409</v>
      </c>
      <c r="C189" s="198"/>
      <c r="D189" s="380">
        <f t="shared" si="16"/>
        <v>5</v>
      </c>
      <c r="E189" s="395"/>
      <c r="F189" s="396">
        <v>5</v>
      </c>
    </row>
    <row r="190" s="360" customFormat="true" spans="1:8">
      <c r="A190" s="377">
        <v>20134</v>
      </c>
      <c r="B190" s="384" t="s">
        <v>410</v>
      </c>
      <c r="C190" s="379">
        <f t="shared" ref="C190:H190" si="24">SUM(C191:C197)</f>
        <v>432</v>
      </c>
      <c r="D190" s="380">
        <f t="shared" si="16"/>
        <v>460</v>
      </c>
      <c r="E190" s="224">
        <f>(D190/C190-1)</f>
        <v>0.0648148148148149</v>
      </c>
      <c r="F190" s="397">
        <f t="shared" si="24"/>
        <v>443</v>
      </c>
      <c r="G190" s="402">
        <f t="shared" si="24"/>
        <v>8</v>
      </c>
      <c r="H190" s="402">
        <f t="shared" si="24"/>
        <v>9</v>
      </c>
    </row>
    <row r="191" s="360" customFormat="true" spans="1:6">
      <c r="A191" s="377">
        <v>2013401</v>
      </c>
      <c r="B191" s="384" t="s">
        <v>306</v>
      </c>
      <c r="C191" s="381">
        <v>401</v>
      </c>
      <c r="D191" s="380">
        <f t="shared" si="16"/>
        <v>425</v>
      </c>
      <c r="E191" s="224">
        <f>(D191/C191-1)</f>
        <v>0.059850374064838</v>
      </c>
      <c r="F191" s="380">
        <v>425</v>
      </c>
    </row>
    <row r="192" s="360" customFormat="true" spans="1:8">
      <c r="A192" s="377">
        <v>2013402</v>
      </c>
      <c r="B192" s="378" t="s">
        <v>307</v>
      </c>
      <c r="C192" s="381">
        <v>20</v>
      </c>
      <c r="D192" s="380">
        <f t="shared" si="16"/>
        <v>19</v>
      </c>
      <c r="E192" s="224">
        <f>(D192/C192-1)</f>
        <v>-0.05</v>
      </c>
      <c r="F192" s="380">
        <v>18</v>
      </c>
      <c r="H192" s="360">
        <v>1</v>
      </c>
    </row>
    <row r="193" s="181" customFormat="true" hidden="true" spans="1:6">
      <c r="A193" s="382">
        <v>2013403</v>
      </c>
      <c r="B193" s="388" t="s">
        <v>308</v>
      </c>
      <c r="C193" s="198"/>
      <c r="D193" s="380">
        <f t="shared" si="16"/>
        <v>0</v>
      </c>
      <c r="E193" s="395"/>
      <c r="F193" s="396"/>
    </row>
    <row r="194" s="181" customFormat="true" spans="1:8">
      <c r="A194" s="382">
        <v>2013404</v>
      </c>
      <c r="B194" s="388" t="s">
        <v>411</v>
      </c>
      <c r="C194" s="198"/>
      <c r="D194" s="380">
        <f t="shared" si="16"/>
        <v>6</v>
      </c>
      <c r="E194" s="395"/>
      <c r="F194" s="396"/>
      <c r="H194" s="181">
        <v>6</v>
      </c>
    </row>
    <row r="195" s="360" customFormat="true" spans="1:9">
      <c r="A195" s="377">
        <v>2013405</v>
      </c>
      <c r="B195" s="378" t="s">
        <v>412</v>
      </c>
      <c r="C195" s="381">
        <f>4+7</f>
        <v>11</v>
      </c>
      <c r="D195" s="380">
        <f t="shared" si="16"/>
        <v>10</v>
      </c>
      <c r="E195" s="224">
        <f>(D195/C195-1)</f>
        <v>-0.0909090909090909</v>
      </c>
      <c r="F195" s="380"/>
      <c r="G195" s="360">
        <v>8</v>
      </c>
      <c r="H195" s="360">
        <v>2</v>
      </c>
      <c r="I195" s="360" t="s">
        <v>413</v>
      </c>
    </row>
    <row r="196" s="181" customFormat="true" hidden="true" spans="1:6">
      <c r="A196" s="382">
        <v>2013450</v>
      </c>
      <c r="B196" s="388" t="s">
        <v>315</v>
      </c>
      <c r="C196" s="225"/>
      <c r="D196" s="380">
        <f t="shared" si="16"/>
        <v>0</v>
      </c>
      <c r="E196" s="395"/>
      <c r="F196" s="405"/>
    </row>
    <row r="197" s="181" customFormat="true" hidden="true" spans="1:6">
      <c r="A197" s="382">
        <v>2013499</v>
      </c>
      <c r="B197" s="383" t="s">
        <v>414</v>
      </c>
      <c r="C197" s="225"/>
      <c r="D197" s="380">
        <f t="shared" si="16"/>
        <v>0</v>
      </c>
      <c r="E197" s="395"/>
      <c r="F197" s="405"/>
    </row>
    <row r="198" s="181" customFormat="true" hidden="true" spans="1:8">
      <c r="A198" s="382">
        <v>20135</v>
      </c>
      <c r="B198" s="406" t="s">
        <v>415</v>
      </c>
      <c r="C198" s="400">
        <f t="shared" ref="C198:H198" si="25">SUM(C199:C203)</f>
        <v>0</v>
      </c>
      <c r="D198" s="380">
        <f t="shared" si="16"/>
        <v>0</v>
      </c>
      <c r="E198" s="395"/>
      <c r="F198" s="403">
        <f t="shared" si="25"/>
        <v>0</v>
      </c>
      <c r="G198" s="404">
        <f t="shared" si="25"/>
        <v>0</v>
      </c>
      <c r="H198" s="404">
        <f t="shared" si="25"/>
        <v>0</v>
      </c>
    </row>
    <row r="199" s="181" customFormat="true" hidden="true" spans="1:6">
      <c r="A199" s="382">
        <v>2013501</v>
      </c>
      <c r="B199" s="383" t="s">
        <v>306</v>
      </c>
      <c r="C199" s="198"/>
      <c r="D199" s="380">
        <f t="shared" si="16"/>
        <v>0</v>
      </c>
      <c r="E199" s="395"/>
      <c r="F199" s="396"/>
    </row>
    <row r="200" s="181" customFormat="true" hidden="true" spans="1:6">
      <c r="A200" s="382">
        <v>2013502</v>
      </c>
      <c r="B200" s="385" t="s">
        <v>307</v>
      </c>
      <c r="C200" s="198"/>
      <c r="D200" s="380">
        <f t="shared" si="16"/>
        <v>0</v>
      </c>
      <c r="E200" s="395"/>
      <c r="F200" s="396"/>
    </row>
    <row r="201" s="181" customFormat="true" hidden="true" spans="1:6">
      <c r="A201" s="382">
        <v>2013503</v>
      </c>
      <c r="B201" s="388" t="s">
        <v>308</v>
      </c>
      <c r="C201" s="216"/>
      <c r="D201" s="380">
        <f t="shared" si="16"/>
        <v>0</v>
      </c>
      <c r="E201" s="395"/>
      <c r="F201" s="411"/>
    </row>
    <row r="202" s="181" customFormat="true" hidden="true" spans="1:6">
      <c r="A202" s="382">
        <v>2013550</v>
      </c>
      <c r="B202" s="388" t="s">
        <v>315</v>
      </c>
      <c r="C202" s="216"/>
      <c r="D202" s="380">
        <f t="shared" ref="D202:D265" si="26">F202+G202+H202</f>
        <v>0</v>
      </c>
      <c r="E202" s="395"/>
      <c r="F202" s="411"/>
    </row>
    <row r="203" s="181" customFormat="true" hidden="true" spans="1:6">
      <c r="A203" s="382">
        <v>2013599</v>
      </c>
      <c r="B203" s="388" t="s">
        <v>416</v>
      </c>
      <c r="C203" s="216"/>
      <c r="D203" s="380">
        <f t="shared" si="26"/>
        <v>0</v>
      </c>
      <c r="E203" s="395"/>
      <c r="F203" s="411"/>
    </row>
    <row r="204" s="360" customFormat="true" spans="1:8">
      <c r="A204" s="377">
        <v>20136</v>
      </c>
      <c r="B204" s="384" t="s">
        <v>417</v>
      </c>
      <c r="C204" s="379">
        <f t="shared" ref="C204:H204" si="27">SUM(C205:C209)</f>
        <v>1350</v>
      </c>
      <c r="D204" s="380">
        <f t="shared" si="26"/>
        <v>1230</v>
      </c>
      <c r="E204" s="224">
        <f>(D204/C204-1)</f>
        <v>-0.0888888888888889</v>
      </c>
      <c r="F204" s="397">
        <f t="shared" si="27"/>
        <v>1224</v>
      </c>
      <c r="G204" s="402">
        <f t="shared" si="27"/>
        <v>0</v>
      </c>
      <c r="H204" s="402">
        <f t="shared" si="27"/>
        <v>6</v>
      </c>
    </row>
    <row r="205" s="360" customFormat="true" spans="1:8">
      <c r="A205" s="377">
        <v>2013601</v>
      </c>
      <c r="B205" s="384" t="s">
        <v>306</v>
      </c>
      <c r="C205" s="407">
        <v>1122</v>
      </c>
      <c r="D205" s="380">
        <f t="shared" si="26"/>
        <v>1139</v>
      </c>
      <c r="E205" s="224">
        <f>(D205/C205-1)</f>
        <v>0.0151515151515151</v>
      </c>
      <c r="F205" s="412">
        <v>1138</v>
      </c>
      <c r="H205" s="360">
        <v>1</v>
      </c>
    </row>
    <row r="206" s="360" customFormat="true" spans="1:8">
      <c r="A206" s="377">
        <v>2013602</v>
      </c>
      <c r="B206" s="384" t="s">
        <v>307</v>
      </c>
      <c r="C206" s="407">
        <v>105</v>
      </c>
      <c r="D206" s="380">
        <f t="shared" si="26"/>
        <v>91</v>
      </c>
      <c r="E206" s="224">
        <f>(D206/C206-1)</f>
        <v>-0.133333333333333</v>
      </c>
      <c r="F206" s="412">
        <v>86</v>
      </c>
      <c r="H206" s="360">
        <v>5</v>
      </c>
    </row>
    <row r="207" s="181" customFormat="true" hidden="true" spans="1:6">
      <c r="A207" s="382">
        <v>2013603</v>
      </c>
      <c r="B207" s="388" t="s">
        <v>308</v>
      </c>
      <c r="C207" s="338"/>
      <c r="D207" s="380">
        <f t="shared" si="26"/>
        <v>0</v>
      </c>
      <c r="E207" s="395"/>
      <c r="F207" s="413"/>
    </row>
    <row r="208" s="360" customFormat="true" hidden="true" spans="1:6">
      <c r="A208" s="377">
        <v>2013650</v>
      </c>
      <c r="B208" s="378" t="s">
        <v>315</v>
      </c>
      <c r="C208" s="407">
        <v>118</v>
      </c>
      <c r="D208" s="380">
        <f t="shared" si="26"/>
        <v>0</v>
      </c>
      <c r="E208" s="224">
        <f>(D208/C208-1)</f>
        <v>-1</v>
      </c>
      <c r="F208" s="412"/>
    </row>
    <row r="209" s="360" customFormat="true" hidden="true" spans="1:6">
      <c r="A209" s="377">
        <v>2013699</v>
      </c>
      <c r="B209" s="378" t="s">
        <v>418</v>
      </c>
      <c r="C209" s="407">
        <v>5</v>
      </c>
      <c r="D209" s="380">
        <f t="shared" si="26"/>
        <v>0</v>
      </c>
      <c r="E209" s="224">
        <f>(D209/C209-1)</f>
        <v>-1</v>
      </c>
      <c r="F209" s="412"/>
    </row>
    <row r="210" s="360" customFormat="true" spans="1:8">
      <c r="A210" s="377">
        <v>20137</v>
      </c>
      <c r="B210" s="378" t="s">
        <v>419</v>
      </c>
      <c r="C210" s="379">
        <f t="shared" ref="C210:H210" si="28">SUM(C211:C216)</f>
        <v>293</v>
      </c>
      <c r="D210" s="380">
        <f t="shared" si="26"/>
        <v>310</v>
      </c>
      <c r="E210" s="224">
        <f>(D210/C210-1)</f>
        <v>0.0580204778156996</v>
      </c>
      <c r="F210" s="397">
        <f t="shared" si="28"/>
        <v>310</v>
      </c>
      <c r="G210" s="402">
        <f t="shared" si="28"/>
        <v>0</v>
      </c>
      <c r="H210" s="402">
        <f t="shared" si="28"/>
        <v>0</v>
      </c>
    </row>
    <row r="211" s="360" customFormat="true" spans="1:6">
      <c r="A211" s="377">
        <v>2013701</v>
      </c>
      <c r="B211" s="378" t="s">
        <v>306</v>
      </c>
      <c r="C211" s="407">
        <v>263</v>
      </c>
      <c r="D211" s="380">
        <f t="shared" si="26"/>
        <v>271</v>
      </c>
      <c r="E211" s="224">
        <f>(D211/C211-1)</f>
        <v>0.0304182509505704</v>
      </c>
      <c r="F211" s="412">
        <v>271</v>
      </c>
    </row>
    <row r="212" s="181" customFormat="true" hidden="true" spans="1:6">
      <c r="A212" s="382">
        <v>2013702</v>
      </c>
      <c r="B212" s="388" t="s">
        <v>307</v>
      </c>
      <c r="C212" s="338"/>
      <c r="D212" s="380">
        <f t="shared" si="26"/>
        <v>0</v>
      </c>
      <c r="E212" s="395" t="e">
        <f>(C212/#REF!-1)</f>
        <v>#REF!</v>
      </c>
      <c r="F212" s="413"/>
    </row>
    <row r="213" s="181" customFormat="true" hidden="true" spans="1:6">
      <c r="A213" s="382">
        <v>2013703</v>
      </c>
      <c r="B213" s="388" t="s">
        <v>308</v>
      </c>
      <c r="C213" s="216"/>
      <c r="D213" s="380">
        <f t="shared" si="26"/>
        <v>0</v>
      </c>
      <c r="E213" s="395"/>
      <c r="F213" s="411"/>
    </row>
    <row r="214" s="181" customFormat="true" hidden="true" spans="1:6">
      <c r="A214" s="382">
        <v>2013704</v>
      </c>
      <c r="B214" s="388" t="s">
        <v>420</v>
      </c>
      <c r="C214" s="216"/>
      <c r="D214" s="380">
        <f t="shared" si="26"/>
        <v>0</v>
      </c>
      <c r="E214" s="395"/>
      <c r="F214" s="411"/>
    </row>
    <row r="215" s="181" customFormat="true" hidden="true" spans="1:6">
      <c r="A215" s="382">
        <v>2013750</v>
      </c>
      <c r="B215" s="388" t="s">
        <v>315</v>
      </c>
      <c r="C215" s="216"/>
      <c r="D215" s="380">
        <f t="shared" si="26"/>
        <v>0</v>
      </c>
      <c r="E215" s="395"/>
      <c r="F215" s="411"/>
    </row>
    <row r="216" s="360" customFormat="true" spans="1:6">
      <c r="A216" s="377">
        <v>2013799</v>
      </c>
      <c r="B216" s="378" t="s">
        <v>421</v>
      </c>
      <c r="C216" s="408">
        <v>30</v>
      </c>
      <c r="D216" s="380">
        <f t="shared" si="26"/>
        <v>39</v>
      </c>
      <c r="E216" s="224">
        <f>(D216/C216-1)</f>
        <v>0.3</v>
      </c>
      <c r="F216" s="414">
        <v>39</v>
      </c>
    </row>
    <row r="217" s="360" customFormat="true" spans="1:8">
      <c r="A217" s="377">
        <v>20138</v>
      </c>
      <c r="B217" s="378" t="s">
        <v>422</v>
      </c>
      <c r="C217" s="379">
        <f t="shared" ref="C217:H217" si="29">SUM(C218:C231)</f>
        <v>3918</v>
      </c>
      <c r="D217" s="380">
        <f t="shared" si="26"/>
        <v>3384</v>
      </c>
      <c r="E217" s="224">
        <f>(D217/C217-1)</f>
        <v>-0.136294027565084</v>
      </c>
      <c r="F217" s="397">
        <f t="shared" si="29"/>
        <v>3011</v>
      </c>
      <c r="G217" s="402">
        <f t="shared" si="29"/>
        <v>364</v>
      </c>
      <c r="H217" s="402">
        <f t="shared" si="29"/>
        <v>9</v>
      </c>
    </row>
    <row r="218" s="360" customFormat="true" spans="1:6">
      <c r="A218" s="377">
        <v>2013801</v>
      </c>
      <c r="B218" s="378" t="s">
        <v>306</v>
      </c>
      <c r="C218" s="381">
        <v>2533</v>
      </c>
      <c r="D218" s="380">
        <f t="shared" si="26"/>
        <v>2294</v>
      </c>
      <c r="E218" s="224">
        <f>(D218/C218-1)</f>
        <v>-0.0943545203316226</v>
      </c>
      <c r="F218" s="380">
        <v>2294</v>
      </c>
    </row>
    <row r="219" s="360" customFormat="true" spans="1:8">
      <c r="A219" s="377">
        <v>2013802</v>
      </c>
      <c r="B219" s="378" t="s">
        <v>307</v>
      </c>
      <c r="C219" s="381">
        <f>309+38</f>
        <v>347</v>
      </c>
      <c r="D219" s="380">
        <f t="shared" si="26"/>
        <v>61</v>
      </c>
      <c r="E219" s="224">
        <f>(D219/C219-1)</f>
        <v>-0.824207492795389</v>
      </c>
      <c r="F219" s="380">
        <v>59</v>
      </c>
      <c r="H219" s="360">
        <v>2</v>
      </c>
    </row>
    <row r="220" s="181" customFormat="true" hidden="true" spans="1:6">
      <c r="A220" s="382">
        <v>2013803</v>
      </c>
      <c r="B220" s="388" t="s">
        <v>308</v>
      </c>
      <c r="C220" s="198">
        <v>0</v>
      </c>
      <c r="D220" s="380">
        <f t="shared" si="26"/>
        <v>0</v>
      </c>
      <c r="E220" s="395"/>
      <c r="F220" s="396"/>
    </row>
    <row r="221" s="360" customFormat="true" spans="1:6">
      <c r="A221" s="377">
        <v>2013804</v>
      </c>
      <c r="B221" s="378" t="s">
        <v>423</v>
      </c>
      <c r="C221" s="381">
        <v>30</v>
      </c>
      <c r="D221" s="380">
        <f t="shared" si="26"/>
        <v>2</v>
      </c>
      <c r="E221" s="224">
        <f>(D221/C221-1)</f>
        <v>-0.933333333333333</v>
      </c>
      <c r="F221" s="380">
        <v>2</v>
      </c>
    </row>
    <row r="222" s="360" customFormat="true" spans="1:9">
      <c r="A222" s="377">
        <v>2013805</v>
      </c>
      <c r="B222" s="378" t="s">
        <v>424</v>
      </c>
      <c r="C222" s="381">
        <f>17+35</f>
        <v>52</v>
      </c>
      <c r="D222" s="380">
        <f t="shared" si="26"/>
        <v>40</v>
      </c>
      <c r="E222" s="224">
        <f>(D222/C222-1)</f>
        <v>-0.230769230769231</v>
      </c>
      <c r="F222" s="380">
        <v>27</v>
      </c>
      <c r="G222" s="360">
        <v>10</v>
      </c>
      <c r="H222" s="360">
        <v>3</v>
      </c>
      <c r="I222" s="360" t="s">
        <v>425</v>
      </c>
    </row>
    <row r="223" s="181" customFormat="true" hidden="true" spans="1:6">
      <c r="A223" s="382">
        <v>2013808</v>
      </c>
      <c r="B223" s="388" t="s">
        <v>347</v>
      </c>
      <c r="C223" s="198">
        <v>0</v>
      </c>
      <c r="D223" s="380">
        <f t="shared" si="26"/>
        <v>0</v>
      </c>
      <c r="E223" s="395" t="e">
        <f>(C223/#REF!-1)</f>
        <v>#REF!</v>
      </c>
      <c r="F223" s="396"/>
    </row>
    <row r="224" s="181" customFormat="true" hidden="true" spans="1:6">
      <c r="A224" s="382">
        <v>2013810</v>
      </c>
      <c r="B224" s="388" t="s">
        <v>426</v>
      </c>
      <c r="C224" s="198">
        <v>0</v>
      </c>
      <c r="D224" s="380">
        <f t="shared" si="26"/>
        <v>0</v>
      </c>
      <c r="E224" s="395"/>
      <c r="F224" s="396"/>
    </row>
    <row r="225" s="360" customFormat="true" spans="1:9">
      <c r="A225" s="377">
        <v>2013812</v>
      </c>
      <c r="B225" s="378" t="s">
        <v>427</v>
      </c>
      <c r="C225" s="381">
        <f>48+9</f>
        <v>57</v>
      </c>
      <c r="D225" s="380">
        <f t="shared" si="26"/>
        <v>199</v>
      </c>
      <c r="E225" s="224">
        <f>(D225/C225-1)</f>
        <v>2.49122807017544</v>
      </c>
      <c r="F225" s="380"/>
      <c r="G225" s="360">
        <f>162+34</f>
        <v>196</v>
      </c>
      <c r="H225" s="360">
        <v>3</v>
      </c>
      <c r="I225" s="360" t="s">
        <v>428</v>
      </c>
    </row>
    <row r="226" s="181" customFormat="true" hidden="true" spans="1:6">
      <c r="A226" s="382">
        <v>2013813</v>
      </c>
      <c r="B226" s="388" t="s">
        <v>429</v>
      </c>
      <c r="C226" s="198">
        <v>0</v>
      </c>
      <c r="D226" s="380">
        <f t="shared" si="26"/>
        <v>0</v>
      </c>
      <c r="E226" s="395"/>
      <c r="F226" s="396"/>
    </row>
    <row r="227" s="181" customFormat="true" hidden="true" spans="1:6">
      <c r="A227" s="382">
        <v>2013814</v>
      </c>
      <c r="B227" s="388" t="s">
        <v>430</v>
      </c>
      <c r="C227" s="198">
        <v>0</v>
      </c>
      <c r="D227" s="380">
        <f t="shared" si="26"/>
        <v>0</v>
      </c>
      <c r="E227" s="395"/>
      <c r="F227" s="396"/>
    </row>
    <row r="228" s="181" customFormat="true" spans="1:6">
      <c r="A228" s="382">
        <v>2013815</v>
      </c>
      <c r="B228" s="388" t="s">
        <v>431</v>
      </c>
      <c r="C228" s="198">
        <v>0</v>
      </c>
      <c r="D228" s="380">
        <f t="shared" si="26"/>
        <v>3</v>
      </c>
      <c r="E228" s="395"/>
      <c r="F228" s="396">
        <v>3</v>
      </c>
    </row>
    <row r="229" s="360" customFormat="true" spans="1:9">
      <c r="A229" s="377">
        <v>2013816</v>
      </c>
      <c r="B229" s="378" t="s">
        <v>432</v>
      </c>
      <c r="C229" s="381">
        <f>5+242</f>
        <v>247</v>
      </c>
      <c r="D229" s="380">
        <f t="shared" si="26"/>
        <v>167</v>
      </c>
      <c r="E229" s="224">
        <f>(D229/C229-1)</f>
        <v>-0.323886639676113</v>
      </c>
      <c r="F229" s="380">
        <v>8</v>
      </c>
      <c r="G229" s="360">
        <v>158</v>
      </c>
      <c r="H229" s="360">
        <v>1</v>
      </c>
      <c r="I229" s="360" t="s">
        <v>433</v>
      </c>
    </row>
    <row r="230" s="360" customFormat="true" spans="1:6">
      <c r="A230" s="377">
        <v>2013850</v>
      </c>
      <c r="B230" s="378" t="s">
        <v>315</v>
      </c>
      <c r="C230" s="381">
        <v>652</v>
      </c>
      <c r="D230" s="380">
        <f t="shared" si="26"/>
        <v>597</v>
      </c>
      <c r="E230" s="224">
        <f>(D230/C230-1)</f>
        <v>-0.0843558282208589</v>
      </c>
      <c r="F230" s="380">
        <v>597</v>
      </c>
    </row>
    <row r="231" s="181" customFormat="true" spans="1:6">
      <c r="A231" s="382">
        <v>2013899</v>
      </c>
      <c r="B231" s="388" t="s">
        <v>434</v>
      </c>
      <c r="C231" s="198"/>
      <c r="D231" s="380">
        <f t="shared" si="26"/>
        <v>21</v>
      </c>
      <c r="E231" s="395"/>
      <c r="F231" s="396">
        <v>21</v>
      </c>
    </row>
    <row r="232" s="360" customFormat="true" spans="1:8">
      <c r="A232" s="377">
        <v>20199</v>
      </c>
      <c r="B232" s="378" t="s">
        <v>435</v>
      </c>
      <c r="C232" s="379">
        <f t="shared" ref="C232:H232" si="30">SUM(C233:C234)</f>
        <v>4982</v>
      </c>
      <c r="D232" s="380">
        <f t="shared" si="26"/>
        <v>7630</v>
      </c>
      <c r="E232" s="224">
        <f>(D232/C232-1)</f>
        <v>0.531513448414291</v>
      </c>
      <c r="F232" s="397">
        <f t="shared" si="30"/>
        <v>6623</v>
      </c>
      <c r="G232" s="402">
        <f t="shared" si="30"/>
        <v>0</v>
      </c>
      <c r="H232" s="402">
        <f t="shared" si="30"/>
        <v>1007</v>
      </c>
    </row>
    <row r="233" s="181" customFormat="true" hidden="true" spans="1:6">
      <c r="A233" s="382">
        <v>2019901</v>
      </c>
      <c r="B233" s="383" t="s">
        <v>436</v>
      </c>
      <c r="C233" s="198"/>
      <c r="D233" s="380">
        <f t="shared" si="26"/>
        <v>0</v>
      </c>
      <c r="E233" s="395"/>
      <c r="F233" s="396"/>
    </row>
    <row r="234" s="360" customFormat="true" spans="1:8">
      <c r="A234" s="377">
        <v>2019999</v>
      </c>
      <c r="B234" s="384" t="s">
        <v>437</v>
      </c>
      <c r="C234" s="381">
        <v>4982</v>
      </c>
      <c r="D234" s="380">
        <f t="shared" si="26"/>
        <v>7630</v>
      </c>
      <c r="E234" s="224">
        <f>(D234/C234-1)</f>
        <v>0.531513448414291</v>
      </c>
      <c r="F234" s="380">
        <f>186+6437</f>
        <v>6623</v>
      </c>
      <c r="H234" s="360">
        <v>1007</v>
      </c>
    </row>
    <row r="235" s="181" customFormat="true" hidden="true" spans="1:8">
      <c r="A235" s="382">
        <v>202</v>
      </c>
      <c r="B235" s="399" t="s">
        <v>438</v>
      </c>
      <c r="C235" s="400">
        <f t="shared" ref="C235:H235" si="31">SUM(C236:C238)</f>
        <v>0</v>
      </c>
      <c r="D235" s="380">
        <f t="shared" si="26"/>
        <v>0</v>
      </c>
      <c r="E235" s="395"/>
      <c r="F235" s="403">
        <f t="shared" si="31"/>
        <v>0</v>
      </c>
      <c r="G235" s="181">
        <f t="shared" si="31"/>
        <v>0</v>
      </c>
      <c r="H235" s="181">
        <f t="shared" si="31"/>
        <v>0</v>
      </c>
    </row>
    <row r="236" s="181" customFormat="true" hidden="true" spans="1:8">
      <c r="A236" s="382">
        <v>20205</v>
      </c>
      <c r="B236" s="383" t="s">
        <v>439</v>
      </c>
      <c r="C236" s="198"/>
      <c r="D236" s="380">
        <f t="shared" si="26"/>
        <v>0</v>
      </c>
      <c r="E236" s="395"/>
      <c r="F236" s="396"/>
      <c r="G236" s="404"/>
      <c r="H236" s="404"/>
    </row>
    <row r="237" s="181" customFormat="true" hidden="true" spans="1:8">
      <c r="A237" s="382">
        <v>20206</v>
      </c>
      <c r="B237" s="383" t="s">
        <v>440</v>
      </c>
      <c r="C237" s="198"/>
      <c r="D237" s="380">
        <f t="shared" si="26"/>
        <v>0</v>
      </c>
      <c r="E237" s="395"/>
      <c r="F237" s="396"/>
      <c r="G237" s="404"/>
      <c r="H237" s="404"/>
    </row>
    <row r="238" s="181" customFormat="true" hidden="true" spans="1:8">
      <c r="A238" s="382">
        <v>20299</v>
      </c>
      <c r="B238" s="383" t="s">
        <v>441</v>
      </c>
      <c r="C238" s="198"/>
      <c r="D238" s="380">
        <f t="shared" si="26"/>
        <v>0</v>
      </c>
      <c r="E238" s="395"/>
      <c r="F238" s="396"/>
      <c r="G238" s="404"/>
      <c r="H238" s="404"/>
    </row>
    <row r="239" s="362" customFormat="true" spans="1:8">
      <c r="A239" s="373">
        <v>203</v>
      </c>
      <c r="B239" s="409" t="s">
        <v>442</v>
      </c>
      <c r="C239" s="375">
        <f t="shared" ref="C239:H239" si="32">SUM(C240,C248)</f>
        <v>135</v>
      </c>
      <c r="D239" s="376">
        <f t="shared" si="26"/>
        <v>60</v>
      </c>
      <c r="E239" s="224">
        <f>(D239/C239-1)</f>
        <v>-0.555555555555556</v>
      </c>
      <c r="F239" s="415">
        <f t="shared" si="32"/>
        <v>0</v>
      </c>
      <c r="G239" s="362">
        <f t="shared" si="32"/>
        <v>0</v>
      </c>
      <c r="H239" s="362">
        <f t="shared" si="32"/>
        <v>60</v>
      </c>
    </row>
    <row r="240" s="360" customFormat="true" spans="1:8">
      <c r="A240" s="377">
        <v>20306</v>
      </c>
      <c r="B240" s="384" t="s">
        <v>443</v>
      </c>
      <c r="C240" s="379">
        <f t="shared" ref="C240:H240" si="33">SUM(C241:C247)</f>
        <v>135</v>
      </c>
      <c r="D240" s="380">
        <f t="shared" si="26"/>
        <v>60</v>
      </c>
      <c r="E240" s="224">
        <f>(D240/C240-1)</f>
        <v>-0.555555555555556</v>
      </c>
      <c r="F240" s="397">
        <f t="shared" si="33"/>
        <v>0</v>
      </c>
      <c r="G240" s="402">
        <f t="shared" si="33"/>
        <v>0</v>
      </c>
      <c r="H240" s="402">
        <f t="shared" si="33"/>
        <v>60</v>
      </c>
    </row>
    <row r="241" s="181" customFormat="true" hidden="true" spans="1:6">
      <c r="A241" s="382">
        <v>2030601</v>
      </c>
      <c r="B241" s="383" t="s">
        <v>444</v>
      </c>
      <c r="C241" s="198"/>
      <c r="D241" s="380">
        <f t="shared" si="26"/>
        <v>0</v>
      </c>
      <c r="E241" s="395"/>
      <c r="F241" s="396"/>
    </row>
    <row r="242" s="181" customFormat="true" hidden="true" spans="1:6">
      <c r="A242" s="382">
        <v>2030602</v>
      </c>
      <c r="B242" s="388" t="s">
        <v>445</v>
      </c>
      <c r="C242" s="198"/>
      <c r="D242" s="380">
        <f t="shared" si="26"/>
        <v>0</v>
      </c>
      <c r="E242" s="395"/>
      <c r="F242" s="396"/>
    </row>
    <row r="243" s="181" customFormat="true" hidden="true" spans="1:6">
      <c r="A243" s="382">
        <v>2030603</v>
      </c>
      <c r="B243" s="388" t="s">
        <v>446</v>
      </c>
      <c r="C243" s="198"/>
      <c r="D243" s="380">
        <f t="shared" si="26"/>
        <v>0</v>
      </c>
      <c r="E243" s="395"/>
      <c r="F243" s="396"/>
    </row>
    <row r="244" s="181" customFormat="true" hidden="true" spans="1:6">
      <c r="A244" s="382">
        <v>2030604</v>
      </c>
      <c r="B244" s="388" t="s">
        <v>447</v>
      </c>
      <c r="C244" s="198"/>
      <c r="D244" s="380">
        <f t="shared" si="26"/>
        <v>0</v>
      </c>
      <c r="E244" s="395"/>
      <c r="F244" s="396"/>
    </row>
    <row r="245" s="360" customFormat="true" hidden="true" spans="1:6">
      <c r="A245" s="377">
        <v>2030607</v>
      </c>
      <c r="B245" s="384" t="s">
        <v>448</v>
      </c>
      <c r="C245" s="381">
        <v>94</v>
      </c>
      <c r="D245" s="380">
        <f t="shared" si="26"/>
        <v>0</v>
      </c>
      <c r="E245" s="224">
        <f>(D245/C245-1)</f>
        <v>-1</v>
      </c>
      <c r="F245" s="380"/>
    </row>
    <row r="246" s="181" customFormat="true" hidden="true" spans="1:6">
      <c r="A246" s="382">
        <v>2030608</v>
      </c>
      <c r="B246" s="383" t="s">
        <v>449</v>
      </c>
      <c r="C246" s="198"/>
      <c r="D246" s="380">
        <f t="shared" si="26"/>
        <v>0</v>
      </c>
      <c r="E246" s="395"/>
      <c r="F246" s="396"/>
    </row>
    <row r="247" s="360" customFormat="true" spans="1:8">
      <c r="A247" s="377">
        <v>2030699</v>
      </c>
      <c r="B247" s="384" t="s">
        <v>450</v>
      </c>
      <c r="C247" s="381">
        <v>41</v>
      </c>
      <c r="D247" s="380">
        <f t="shared" si="26"/>
        <v>60</v>
      </c>
      <c r="E247" s="224">
        <f>(D247/C247-1)</f>
        <v>0.463414634146341</v>
      </c>
      <c r="F247" s="380"/>
      <c r="H247" s="360">
        <v>60</v>
      </c>
    </row>
    <row r="248" s="181" customFormat="true" hidden="true" spans="1:8">
      <c r="A248" s="382">
        <v>20399</v>
      </c>
      <c r="B248" s="406" t="s">
        <v>451</v>
      </c>
      <c r="C248" s="400"/>
      <c r="D248" s="380">
        <f t="shared" si="26"/>
        <v>0</v>
      </c>
      <c r="E248" s="395"/>
      <c r="F248" s="403"/>
      <c r="G248" s="404"/>
      <c r="H248" s="404"/>
    </row>
    <row r="249" s="362" customFormat="true" spans="1:8">
      <c r="A249" s="373">
        <v>204</v>
      </c>
      <c r="B249" s="410" t="s">
        <v>22</v>
      </c>
      <c r="C249" s="375">
        <f t="shared" ref="C249:H249" si="34">SUM(C250,C253,C264,C271,C279,C288,C302,C312,C322,C330,C336)</f>
        <v>29238</v>
      </c>
      <c r="D249" s="376">
        <f t="shared" si="26"/>
        <v>20664</v>
      </c>
      <c r="E249" s="224">
        <f>(D249/C249-1)</f>
        <v>-0.293248512210137</v>
      </c>
      <c r="F249" s="415">
        <f t="shared" si="34"/>
        <v>17605</v>
      </c>
      <c r="G249" s="362">
        <f t="shared" si="34"/>
        <v>869</v>
      </c>
      <c r="H249" s="362">
        <f t="shared" si="34"/>
        <v>2190</v>
      </c>
    </row>
    <row r="250" s="181" customFormat="true" hidden="true" spans="1:8">
      <c r="A250" s="382">
        <v>20401</v>
      </c>
      <c r="B250" s="399" t="s">
        <v>452</v>
      </c>
      <c r="C250" s="400">
        <f t="shared" ref="C250:H250" si="35">SUM(C251:C252)</f>
        <v>0</v>
      </c>
      <c r="D250" s="380">
        <f t="shared" si="26"/>
        <v>0</v>
      </c>
      <c r="E250" s="395"/>
      <c r="F250" s="403">
        <f t="shared" si="35"/>
        <v>0</v>
      </c>
      <c r="G250" s="404">
        <f t="shared" si="35"/>
        <v>0</v>
      </c>
      <c r="H250" s="404">
        <f t="shared" si="35"/>
        <v>0</v>
      </c>
    </row>
    <row r="251" s="181" customFormat="true" hidden="true" spans="1:6">
      <c r="A251" s="382">
        <v>2040101</v>
      </c>
      <c r="B251" s="388" t="s">
        <v>453</v>
      </c>
      <c r="C251" s="198"/>
      <c r="D251" s="380">
        <f t="shared" si="26"/>
        <v>0</v>
      </c>
      <c r="E251" s="395"/>
      <c r="F251" s="396"/>
    </row>
    <row r="252" s="181" customFormat="true" hidden="true" spans="1:6">
      <c r="A252" s="382">
        <v>2040199</v>
      </c>
      <c r="B252" s="383" t="s">
        <v>454</v>
      </c>
      <c r="C252" s="198"/>
      <c r="D252" s="380">
        <f t="shared" si="26"/>
        <v>0</v>
      </c>
      <c r="E252" s="395"/>
      <c r="F252" s="396"/>
    </row>
    <row r="253" s="360" customFormat="true" spans="1:8">
      <c r="A253" s="377">
        <v>20402</v>
      </c>
      <c r="B253" s="384" t="s">
        <v>455</v>
      </c>
      <c r="C253" s="379">
        <f t="shared" ref="C253:H253" si="36">SUM(C254:C263)</f>
        <v>26720</v>
      </c>
      <c r="D253" s="380">
        <f t="shared" si="26"/>
        <v>19583</v>
      </c>
      <c r="E253" s="224">
        <f>(D253/C253-1)</f>
        <v>-0.267103293413174</v>
      </c>
      <c r="F253" s="397">
        <f t="shared" si="36"/>
        <v>17114</v>
      </c>
      <c r="G253" s="402">
        <f t="shared" si="36"/>
        <v>869</v>
      </c>
      <c r="H253" s="402">
        <f t="shared" si="36"/>
        <v>1600</v>
      </c>
    </row>
    <row r="254" s="360" customFormat="true" spans="1:6">
      <c r="A254" s="377">
        <v>2040201</v>
      </c>
      <c r="B254" s="384" t="s">
        <v>306</v>
      </c>
      <c r="C254" s="381">
        <v>13961</v>
      </c>
      <c r="D254" s="380">
        <f t="shared" si="26"/>
        <v>15137</v>
      </c>
      <c r="E254" s="224">
        <f>(D254/C254-1)</f>
        <v>0.0842346536781033</v>
      </c>
      <c r="F254" s="380">
        <v>15137</v>
      </c>
    </row>
    <row r="255" s="360" customFormat="true" spans="1:9">
      <c r="A255" s="377">
        <v>2040202</v>
      </c>
      <c r="B255" s="384" t="s">
        <v>307</v>
      </c>
      <c r="C255" s="381">
        <f>6044+680+5900</f>
        <v>12624</v>
      </c>
      <c r="D255" s="380">
        <f t="shared" si="26"/>
        <v>3788</v>
      </c>
      <c r="E255" s="224">
        <f>(D255/C255-1)</f>
        <v>-0.699936628643853</v>
      </c>
      <c r="F255" s="380">
        <v>1319</v>
      </c>
      <c r="G255" s="360">
        <v>869</v>
      </c>
      <c r="H255" s="360">
        <v>1600</v>
      </c>
      <c r="I255" s="360" t="s">
        <v>456</v>
      </c>
    </row>
    <row r="256" s="360" customFormat="true" spans="1:6">
      <c r="A256" s="377">
        <v>2040203</v>
      </c>
      <c r="B256" s="384" t="s">
        <v>308</v>
      </c>
      <c r="C256" s="381">
        <v>35</v>
      </c>
      <c r="D256" s="380">
        <f t="shared" si="26"/>
        <v>36</v>
      </c>
      <c r="E256" s="224">
        <f>(D256/C256-1)</f>
        <v>0.0285714285714285</v>
      </c>
      <c r="F256" s="380">
        <v>36</v>
      </c>
    </row>
    <row r="257" s="181" customFormat="true" hidden="true" spans="1:6">
      <c r="A257" s="382">
        <v>2040219</v>
      </c>
      <c r="B257" s="383" t="s">
        <v>347</v>
      </c>
      <c r="C257" s="198"/>
      <c r="D257" s="380">
        <f t="shared" si="26"/>
        <v>0</v>
      </c>
      <c r="E257" s="395"/>
      <c r="F257" s="396"/>
    </row>
    <row r="258" s="181" customFormat="true" hidden="true" spans="1:6">
      <c r="A258" s="382">
        <v>2040220</v>
      </c>
      <c r="B258" s="383" t="s">
        <v>457</v>
      </c>
      <c r="C258" s="198"/>
      <c r="D258" s="380">
        <f t="shared" si="26"/>
        <v>0</v>
      </c>
      <c r="E258" s="395" t="e">
        <f>(C258/#REF!-1)</f>
        <v>#REF!</v>
      </c>
      <c r="F258" s="396"/>
    </row>
    <row r="259" s="181" customFormat="true" hidden="true" spans="1:6">
      <c r="A259" s="382">
        <v>2040221</v>
      </c>
      <c r="B259" s="383" t="s">
        <v>458</v>
      </c>
      <c r="C259" s="198"/>
      <c r="D259" s="380">
        <f t="shared" si="26"/>
        <v>0</v>
      </c>
      <c r="E259" s="395"/>
      <c r="F259" s="396"/>
    </row>
    <row r="260" s="181" customFormat="true" hidden="true" spans="1:6">
      <c r="A260" s="382">
        <v>2040222</v>
      </c>
      <c r="B260" s="383" t="s">
        <v>459</v>
      </c>
      <c r="C260" s="198"/>
      <c r="D260" s="380">
        <f t="shared" si="26"/>
        <v>0</v>
      </c>
      <c r="E260" s="395"/>
      <c r="F260" s="396"/>
    </row>
    <row r="261" s="181" customFormat="true" hidden="true" spans="1:6">
      <c r="A261" s="382">
        <v>2040223</v>
      </c>
      <c r="B261" s="383" t="s">
        <v>460</v>
      </c>
      <c r="C261" s="198"/>
      <c r="D261" s="380">
        <f t="shared" si="26"/>
        <v>0</v>
      </c>
      <c r="E261" s="395"/>
      <c r="F261" s="396"/>
    </row>
    <row r="262" s="360" customFormat="true" spans="1:6">
      <c r="A262" s="377">
        <v>2040250</v>
      </c>
      <c r="B262" s="384" t="s">
        <v>315</v>
      </c>
      <c r="C262" s="381">
        <v>100</v>
      </c>
      <c r="D262" s="380">
        <f t="shared" si="26"/>
        <v>190</v>
      </c>
      <c r="E262" s="224">
        <f>(D262/C262-1)</f>
        <v>0.9</v>
      </c>
      <c r="F262" s="380">
        <v>190</v>
      </c>
    </row>
    <row r="263" s="181" customFormat="true" spans="1:6">
      <c r="A263" s="382">
        <v>2040299</v>
      </c>
      <c r="B263" s="383" t="s">
        <v>461</v>
      </c>
      <c r="C263" s="198"/>
      <c r="D263" s="380">
        <f t="shared" si="26"/>
        <v>432</v>
      </c>
      <c r="E263" s="224">
        <v>0</v>
      </c>
      <c r="F263" s="396">
        <v>432</v>
      </c>
    </row>
    <row r="264" s="181" customFormat="true" hidden="true" spans="1:8">
      <c r="A264" s="382">
        <v>20403</v>
      </c>
      <c r="B264" s="399" t="s">
        <v>462</v>
      </c>
      <c r="C264" s="400">
        <f t="shared" ref="C264:H264" si="37">SUM(C265:C270)</f>
        <v>0</v>
      </c>
      <c r="D264" s="380">
        <f t="shared" si="26"/>
        <v>0</v>
      </c>
      <c r="E264" s="395"/>
      <c r="F264" s="403">
        <f t="shared" si="37"/>
        <v>0</v>
      </c>
      <c r="G264" s="404">
        <f t="shared" si="37"/>
        <v>0</v>
      </c>
      <c r="H264" s="404">
        <f t="shared" si="37"/>
        <v>0</v>
      </c>
    </row>
    <row r="265" s="181" customFormat="true" hidden="true" spans="1:6">
      <c r="A265" s="382">
        <v>2040301</v>
      </c>
      <c r="B265" s="388" t="s">
        <v>306</v>
      </c>
      <c r="C265" s="198"/>
      <c r="D265" s="380">
        <f t="shared" si="26"/>
        <v>0</v>
      </c>
      <c r="E265" s="395"/>
      <c r="F265" s="396"/>
    </row>
    <row r="266" s="181" customFormat="true" hidden="true" spans="1:6">
      <c r="A266" s="382">
        <v>2040302</v>
      </c>
      <c r="B266" s="388" t="s">
        <v>307</v>
      </c>
      <c r="C266" s="198"/>
      <c r="D266" s="380">
        <f t="shared" ref="D266:D329" si="38">F266+G266+H266</f>
        <v>0</v>
      </c>
      <c r="E266" s="395"/>
      <c r="F266" s="396"/>
    </row>
    <row r="267" s="181" customFormat="true" hidden="true" spans="1:6">
      <c r="A267" s="382">
        <v>2040303</v>
      </c>
      <c r="B267" s="383" t="s">
        <v>308</v>
      </c>
      <c r="C267" s="198"/>
      <c r="D267" s="380">
        <f t="shared" si="38"/>
        <v>0</v>
      </c>
      <c r="E267" s="395"/>
      <c r="F267" s="396"/>
    </row>
    <row r="268" s="181" customFormat="true" hidden="true" spans="1:6">
      <c r="A268" s="382">
        <v>2040304</v>
      </c>
      <c r="B268" s="383" t="s">
        <v>463</v>
      </c>
      <c r="C268" s="198"/>
      <c r="D268" s="380">
        <f t="shared" si="38"/>
        <v>0</v>
      </c>
      <c r="E268" s="395"/>
      <c r="F268" s="396"/>
    </row>
    <row r="269" s="181" customFormat="true" hidden="true" spans="1:6">
      <c r="A269" s="382">
        <v>2040350</v>
      </c>
      <c r="B269" s="383" t="s">
        <v>315</v>
      </c>
      <c r="C269" s="198"/>
      <c r="D269" s="380">
        <f t="shared" si="38"/>
        <v>0</v>
      </c>
      <c r="E269" s="395"/>
      <c r="F269" s="396"/>
    </row>
    <row r="270" s="181" customFormat="true" hidden="true" spans="1:6">
      <c r="A270" s="382">
        <v>2040399</v>
      </c>
      <c r="B270" s="385" t="s">
        <v>464</v>
      </c>
      <c r="C270" s="198"/>
      <c r="D270" s="380">
        <f t="shared" si="38"/>
        <v>0</v>
      </c>
      <c r="E270" s="395"/>
      <c r="F270" s="396"/>
    </row>
    <row r="271" s="181" customFormat="true" hidden="true" spans="1:8">
      <c r="A271" s="382">
        <v>20404</v>
      </c>
      <c r="B271" s="416" t="s">
        <v>465</v>
      </c>
      <c r="C271" s="400">
        <f t="shared" ref="C271:H271" si="39">SUM(C272:C278)</f>
        <v>0</v>
      </c>
      <c r="D271" s="380">
        <f t="shared" si="38"/>
        <v>0</v>
      </c>
      <c r="E271" s="395"/>
      <c r="F271" s="403">
        <f t="shared" si="39"/>
        <v>0</v>
      </c>
      <c r="G271" s="404">
        <f t="shared" si="39"/>
        <v>0</v>
      </c>
      <c r="H271" s="404">
        <f t="shared" si="39"/>
        <v>0</v>
      </c>
    </row>
    <row r="272" s="181" customFormat="true" hidden="true" spans="1:6">
      <c r="A272" s="382">
        <v>2040401</v>
      </c>
      <c r="B272" s="388" t="s">
        <v>306</v>
      </c>
      <c r="C272" s="198"/>
      <c r="D272" s="380">
        <f t="shared" si="38"/>
        <v>0</v>
      </c>
      <c r="E272" s="395"/>
      <c r="F272" s="396"/>
    </row>
    <row r="273" s="181" customFormat="true" hidden="true" spans="1:6">
      <c r="A273" s="382">
        <v>2040402</v>
      </c>
      <c r="B273" s="388" t="s">
        <v>307</v>
      </c>
      <c r="C273" s="198"/>
      <c r="D273" s="380">
        <f t="shared" si="38"/>
        <v>0</v>
      </c>
      <c r="E273" s="395"/>
      <c r="F273" s="396"/>
    </row>
    <row r="274" s="181" customFormat="true" hidden="true" spans="1:6">
      <c r="A274" s="382">
        <v>2040403</v>
      </c>
      <c r="B274" s="383" t="s">
        <v>308</v>
      </c>
      <c r="C274" s="198"/>
      <c r="D274" s="380">
        <f t="shared" si="38"/>
        <v>0</v>
      </c>
      <c r="E274" s="395"/>
      <c r="F274" s="396"/>
    </row>
    <row r="275" s="181" customFormat="true" hidden="true" spans="1:6">
      <c r="A275" s="382">
        <v>2040409</v>
      </c>
      <c r="B275" s="383" t="s">
        <v>466</v>
      </c>
      <c r="C275" s="198"/>
      <c r="D275" s="380">
        <f t="shared" si="38"/>
        <v>0</v>
      </c>
      <c r="E275" s="395"/>
      <c r="F275" s="396"/>
    </row>
    <row r="276" s="181" customFormat="true" hidden="true" spans="1:6">
      <c r="A276" s="382">
        <v>2040410</v>
      </c>
      <c r="B276" s="383" t="s">
        <v>467</v>
      </c>
      <c r="C276" s="198"/>
      <c r="D276" s="380">
        <f t="shared" si="38"/>
        <v>0</v>
      </c>
      <c r="E276" s="395"/>
      <c r="F276" s="396"/>
    </row>
    <row r="277" s="181" customFormat="true" hidden="true" spans="1:6">
      <c r="A277" s="382">
        <v>2040450</v>
      </c>
      <c r="B277" s="383" t="s">
        <v>315</v>
      </c>
      <c r="C277" s="198"/>
      <c r="D277" s="380">
        <f t="shared" si="38"/>
        <v>0</v>
      </c>
      <c r="E277" s="395"/>
      <c r="F277" s="396"/>
    </row>
    <row r="278" s="181" customFormat="true" hidden="true" spans="1:6">
      <c r="A278" s="382">
        <v>2040499</v>
      </c>
      <c r="B278" s="383" t="s">
        <v>468</v>
      </c>
      <c r="C278" s="198"/>
      <c r="D278" s="380">
        <f t="shared" si="38"/>
        <v>0</v>
      </c>
      <c r="E278" s="395"/>
      <c r="F278" s="396"/>
    </row>
    <row r="279" s="181" customFormat="true" hidden="true" spans="1:8">
      <c r="A279" s="382">
        <v>20405</v>
      </c>
      <c r="B279" s="417" t="s">
        <v>469</v>
      </c>
      <c r="C279" s="400">
        <f t="shared" ref="C279:H279" si="40">SUM(C280:C287)</f>
        <v>0</v>
      </c>
      <c r="D279" s="380">
        <f t="shared" si="38"/>
        <v>0</v>
      </c>
      <c r="E279" s="395"/>
      <c r="F279" s="403">
        <f t="shared" si="40"/>
        <v>0</v>
      </c>
      <c r="G279" s="404">
        <f t="shared" si="40"/>
        <v>0</v>
      </c>
      <c r="H279" s="404">
        <f t="shared" si="40"/>
        <v>0</v>
      </c>
    </row>
    <row r="280" s="181" customFormat="true" hidden="true" spans="1:6">
      <c r="A280" s="382">
        <v>2040501</v>
      </c>
      <c r="B280" s="388" t="s">
        <v>306</v>
      </c>
      <c r="C280" s="198"/>
      <c r="D280" s="380">
        <f t="shared" si="38"/>
        <v>0</v>
      </c>
      <c r="E280" s="395"/>
      <c r="F280" s="396"/>
    </row>
    <row r="281" s="181" customFormat="true" hidden="true" spans="1:6">
      <c r="A281" s="382">
        <v>2040502</v>
      </c>
      <c r="B281" s="388" t="s">
        <v>307</v>
      </c>
      <c r="C281" s="198"/>
      <c r="D281" s="380">
        <f t="shared" si="38"/>
        <v>0</v>
      </c>
      <c r="E281" s="395"/>
      <c r="F281" s="396"/>
    </row>
    <row r="282" s="181" customFormat="true" hidden="true" spans="1:6">
      <c r="A282" s="382">
        <v>2040503</v>
      </c>
      <c r="B282" s="388" t="s">
        <v>308</v>
      </c>
      <c r="C282" s="198"/>
      <c r="D282" s="380">
        <f t="shared" si="38"/>
        <v>0</v>
      </c>
      <c r="E282" s="395"/>
      <c r="F282" s="396"/>
    </row>
    <row r="283" s="181" customFormat="true" hidden="true" spans="1:6">
      <c r="A283" s="382">
        <v>2040504</v>
      </c>
      <c r="B283" s="383" t="s">
        <v>470</v>
      </c>
      <c r="C283" s="198"/>
      <c r="D283" s="380">
        <f t="shared" si="38"/>
        <v>0</v>
      </c>
      <c r="E283" s="395"/>
      <c r="F283" s="396"/>
    </row>
    <row r="284" s="181" customFormat="true" hidden="true" spans="1:6">
      <c r="A284" s="382">
        <v>2040505</v>
      </c>
      <c r="B284" s="383" t="s">
        <v>471</v>
      </c>
      <c r="C284" s="198"/>
      <c r="D284" s="380">
        <f t="shared" si="38"/>
        <v>0</v>
      </c>
      <c r="E284" s="395"/>
      <c r="F284" s="396"/>
    </row>
    <row r="285" s="181" customFormat="true" hidden="true" spans="1:6">
      <c r="A285" s="382">
        <v>2040506</v>
      </c>
      <c r="B285" s="383" t="s">
        <v>472</v>
      </c>
      <c r="C285" s="198"/>
      <c r="D285" s="380">
        <f t="shared" si="38"/>
        <v>0</v>
      </c>
      <c r="E285" s="395"/>
      <c r="F285" s="396"/>
    </row>
    <row r="286" s="181" customFormat="true" hidden="true" spans="1:6">
      <c r="A286" s="382">
        <v>2040550</v>
      </c>
      <c r="B286" s="388" t="s">
        <v>315</v>
      </c>
      <c r="C286" s="198"/>
      <c r="D286" s="380">
        <f t="shared" si="38"/>
        <v>0</v>
      </c>
      <c r="E286" s="395"/>
      <c r="F286" s="396"/>
    </row>
    <row r="287" s="181" customFormat="true" hidden="true" spans="1:6">
      <c r="A287" s="382">
        <v>2040599</v>
      </c>
      <c r="B287" s="388" t="s">
        <v>473</v>
      </c>
      <c r="C287" s="198"/>
      <c r="D287" s="380">
        <f t="shared" si="38"/>
        <v>0</v>
      </c>
      <c r="E287" s="395"/>
      <c r="F287" s="396"/>
    </row>
    <row r="288" s="360" customFormat="true" spans="1:8">
      <c r="A288" s="377">
        <v>20406</v>
      </c>
      <c r="B288" s="378" t="s">
        <v>474</v>
      </c>
      <c r="C288" s="379">
        <f t="shared" ref="C288:H288" si="41">SUM(C289:C301)</f>
        <v>1617</v>
      </c>
      <c r="D288" s="380">
        <f t="shared" si="38"/>
        <v>814</v>
      </c>
      <c r="E288" s="224">
        <f>(D288/C288-1)</f>
        <v>-0.496598639455782</v>
      </c>
      <c r="F288" s="397">
        <f t="shared" si="41"/>
        <v>491</v>
      </c>
      <c r="G288" s="402">
        <f t="shared" si="41"/>
        <v>0</v>
      </c>
      <c r="H288" s="402">
        <f t="shared" si="41"/>
        <v>323</v>
      </c>
    </row>
    <row r="289" s="360" customFormat="true" spans="1:6">
      <c r="A289" s="377">
        <v>2040601</v>
      </c>
      <c r="B289" s="384" t="s">
        <v>306</v>
      </c>
      <c r="C289" s="381">
        <v>416</v>
      </c>
      <c r="D289" s="380">
        <f t="shared" si="38"/>
        <v>442</v>
      </c>
      <c r="E289" s="224">
        <f>(D289/C289-1)</f>
        <v>0.0625</v>
      </c>
      <c r="F289" s="380">
        <v>442</v>
      </c>
    </row>
    <row r="290" s="360" customFormat="true" spans="1:8">
      <c r="A290" s="377">
        <v>2040602</v>
      </c>
      <c r="B290" s="384" t="s">
        <v>307</v>
      </c>
      <c r="C290" s="381">
        <f>663+408</f>
        <v>1071</v>
      </c>
      <c r="D290" s="380">
        <f t="shared" si="38"/>
        <v>372</v>
      </c>
      <c r="E290" s="224">
        <f>(D290/C290-1)</f>
        <v>-0.65266106442577</v>
      </c>
      <c r="F290" s="380">
        <v>49</v>
      </c>
      <c r="H290" s="360">
        <v>323</v>
      </c>
    </row>
    <row r="291" s="181" customFormat="true" hidden="true" spans="1:6">
      <c r="A291" s="382">
        <v>2040603</v>
      </c>
      <c r="B291" s="383" t="s">
        <v>308</v>
      </c>
      <c r="C291" s="198">
        <v>0</v>
      </c>
      <c r="D291" s="380">
        <f t="shared" si="38"/>
        <v>0</v>
      </c>
      <c r="E291" s="395"/>
      <c r="F291" s="396"/>
    </row>
    <row r="292" s="360" customFormat="true" hidden="true" spans="1:6">
      <c r="A292" s="377">
        <v>2040604</v>
      </c>
      <c r="B292" s="386" t="s">
        <v>475</v>
      </c>
      <c r="C292" s="381">
        <v>100</v>
      </c>
      <c r="D292" s="380">
        <f t="shared" si="38"/>
        <v>0</v>
      </c>
      <c r="E292" s="224">
        <f>(D292/C292-1)</f>
        <v>-1</v>
      </c>
      <c r="F292" s="380"/>
    </row>
    <row r="293" s="181" customFormat="true" hidden="true" spans="1:6">
      <c r="A293" s="382">
        <v>2040605</v>
      </c>
      <c r="B293" s="388" t="s">
        <v>476</v>
      </c>
      <c r="C293" s="198">
        <v>0</v>
      </c>
      <c r="D293" s="380">
        <f t="shared" si="38"/>
        <v>0</v>
      </c>
      <c r="E293" s="395"/>
      <c r="F293" s="396"/>
    </row>
    <row r="294" s="181" customFormat="true" hidden="true" spans="1:6">
      <c r="A294" s="382">
        <v>2040606</v>
      </c>
      <c r="B294" s="388" t="s">
        <v>477</v>
      </c>
      <c r="C294" s="198">
        <v>0</v>
      </c>
      <c r="D294" s="380">
        <f t="shared" si="38"/>
        <v>0</v>
      </c>
      <c r="E294" s="395"/>
      <c r="F294" s="396"/>
    </row>
    <row r="295" s="360" customFormat="true" hidden="true" spans="1:6">
      <c r="A295" s="377">
        <v>2040607</v>
      </c>
      <c r="B295" s="389" t="s">
        <v>478</v>
      </c>
      <c r="C295" s="381">
        <v>30</v>
      </c>
      <c r="D295" s="380">
        <f t="shared" si="38"/>
        <v>0</v>
      </c>
      <c r="E295" s="224">
        <f>(D295/C295-1)</f>
        <v>-1</v>
      </c>
      <c r="F295" s="380"/>
    </row>
    <row r="296" s="181" customFormat="true" hidden="true" spans="1:6">
      <c r="A296" s="382">
        <v>2040608</v>
      </c>
      <c r="B296" s="383" t="s">
        <v>479</v>
      </c>
      <c r="C296" s="198"/>
      <c r="D296" s="380">
        <f t="shared" si="38"/>
        <v>0</v>
      </c>
      <c r="E296" s="395"/>
      <c r="F296" s="396"/>
    </row>
    <row r="297" s="181" customFormat="true" hidden="true" spans="1:6">
      <c r="A297" s="382">
        <v>2040610</v>
      </c>
      <c r="B297" s="383" t="s">
        <v>480</v>
      </c>
      <c r="C297" s="198"/>
      <c r="D297" s="380">
        <f t="shared" si="38"/>
        <v>0</v>
      </c>
      <c r="E297" s="395"/>
      <c r="F297" s="396"/>
    </row>
    <row r="298" s="181" customFormat="true" hidden="true" spans="1:6">
      <c r="A298" s="382">
        <v>2040612</v>
      </c>
      <c r="B298" s="383" t="s">
        <v>481</v>
      </c>
      <c r="C298" s="198"/>
      <c r="D298" s="380">
        <f t="shared" si="38"/>
        <v>0</v>
      </c>
      <c r="E298" s="395"/>
      <c r="F298" s="396"/>
    </row>
    <row r="299" s="181" customFormat="true" hidden="true" spans="1:6">
      <c r="A299" s="382">
        <v>2040613</v>
      </c>
      <c r="B299" s="383" t="s">
        <v>347</v>
      </c>
      <c r="C299" s="198"/>
      <c r="D299" s="380">
        <f t="shared" si="38"/>
        <v>0</v>
      </c>
      <c r="E299" s="395"/>
      <c r="F299" s="396"/>
    </row>
    <row r="300" s="181" customFormat="true" hidden="true" spans="1:6">
      <c r="A300" s="382">
        <v>2040650</v>
      </c>
      <c r="B300" s="383" t="s">
        <v>315</v>
      </c>
      <c r="C300" s="198"/>
      <c r="D300" s="380">
        <f t="shared" si="38"/>
        <v>0</v>
      </c>
      <c r="E300" s="395"/>
      <c r="F300" s="396"/>
    </row>
    <row r="301" s="181" customFormat="true" hidden="true" spans="1:6">
      <c r="A301" s="382">
        <v>2040699</v>
      </c>
      <c r="B301" s="388" t="s">
        <v>482</v>
      </c>
      <c r="C301" s="198"/>
      <c r="D301" s="380">
        <f t="shared" si="38"/>
        <v>0</v>
      </c>
      <c r="E301" s="395"/>
      <c r="F301" s="396"/>
    </row>
    <row r="302" s="181" customFormat="true" hidden="true" spans="1:8">
      <c r="A302" s="382">
        <v>20407</v>
      </c>
      <c r="B302" s="416" t="s">
        <v>483</v>
      </c>
      <c r="C302" s="400">
        <f t="shared" ref="C302:H302" si="42">SUM(C303:C311)</f>
        <v>0</v>
      </c>
      <c r="D302" s="380">
        <f t="shared" si="38"/>
        <v>0</v>
      </c>
      <c r="E302" s="395"/>
      <c r="F302" s="403">
        <f t="shared" si="42"/>
        <v>0</v>
      </c>
      <c r="G302" s="404">
        <f t="shared" si="42"/>
        <v>0</v>
      </c>
      <c r="H302" s="404">
        <f t="shared" si="42"/>
        <v>0</v>
      </c>
    </row>
    <row r="303" s="181" customFormat="true" hidden="true" spans="1:6">
      <c r="A303" s="382">
        <v>2040701</v>
      </c>
      <c r="B303" s="388" t="s">
        <v>306</v>
      </c>
      <c r="C303" s="198"/>
      <c r="D303" s="380">
        <f t="shared" si="38"/>
        <v>0</v>
      </c>
      <c r="E303" s="395"/>
      <c r="F303" s="396"/>
    </row>
    <row r="304" s="181" customFormat="true" hidden="true" spans="1:6">
      <c r="A304" s="382">
        <v>2040702</v>
      </c>
      <c r="B304" s="383" t="s">
        <v>307</v>
      </c>
      <c r="C304" s="198"/>
      <c r="D304" s="380">
        <f t="shared" si="38"/>
        <v>0</v>
      </c>
      <c r="E304" s="395"/>
      <c r="F304" s="396"/>
    </row>
    <row r="305" s="181" customFormat="true" hidden="true" spans="1:6">
      <c r="A305" s="382">
        <v>2040703</v>
      </c>
      <c r="B305" s="383" t="s">
        <v>308</v>
      </c>
      <c r="C305" s="198"/>
      <c r="D305" s="380">
        <f t="shared" si="38"/>
        <v>0</v>
      </c>
      <c r="E305" s="395"/>
      <c r="F305" s="396"/>
    </row>
    <row r="306" s="181" customFormat="true" hidden="true" spans="1:6">
      <c r="A306" s="382">
        <v>2040704</v>
      </c>
      <c r="B306" s="383" t="s">
        <v>484</v>
      </c>
      <c r="C306" s="198"/>
      <c r="D306" s="380">
        <f t="shared" si="38"/>
        <v>0</v>
      </c>
      <c r="E306" s="395"/>
      <c r="F306" s="396"/>
    </row>
    <row r="307" s="181" customFormat="true" hidden="true" spans="1:6">
      <c r="A307" s="382">
        <v>2040705</v>
      </c>
      <c r="B307" s="385" t="s">
        <v>485</v>
      </c>
      <c r="C307" s="198"/>
      <c r="D307" s="380">
        <f t="shared" si="38"/>
        <v>0</v>
      </c>
      <c r="E307" s="395"/>
      <c r="F307" s="396"/>
    </row>
    <row r="308" s="181" customFormat="true" hidden="true" spans="1:6">
      <c r="A308" s="382">
        <v>2040706</v>
      </c>
      <c r="B308" s="388" t="s">
        <v>486</v>
      </c>
      <c r="C308" s="198"/>
      <c r="D308" s="380">
        <f t="shared" si="38"/>
        <v>0</v>
      </c>
      <c r="E308" s="395"/>
      <c r="F308" s="396"/>
    </row>
    <row r="309" s="181" customFormat="true" hidden="true" spans="1:6">
      <c r="A309" s="382">
        <v>2040707</v>
      </c>
      <c r="B309" s="388" t="s">
        <v>347</v>
      </c>
      <c r="C309" s="198"/>
      <c r="D309" s="380">
        <f t="shared" si="38"/>
        <v>0</v>
      </c>
      <c r="E309" s="395"/>
      <c r="F309" s="396"/>
    </row>
    <row r="310" s="181" customFormat="true" hidden="true" spans="1:6">
      <c r="A310" s="382">
        <v>2040750</v>
      </c>
      <c r="B310" s="388" t="s">
        <v>315</v>
      </c>
      <c r="C310" s="198"/>
      <c r="D310" s="380">
        <f t="shared" si="38"/>
        <v>0</v>
      </c>
      <c r="E310" s="395"/>
      <c r="F310" s="396"/>
    </row>
    <row r="311" s="181" customFormat="true" hidden="true" spans="1:6">
      <c r="A311" s="382">
        <v>2040799</v>
      </c>
      <c r="B311" s="388" t="s">
        <v>487</v>
      </c>
      <c r="C311" s="198"/>
      <c r="D311" s="380">
        <f t="shared" si="38"/>
        <v>0</v>
      </c>
      <c r="E311" s="395"/>
      <c r="F311" s="396"/>
    </row>
    <row r="312" s="181" customFormat="true" hidden="true" spans="1:8">
      <c r="A312" s="382">
        <v>20408</v>
      </c>
      <c r="B312" s="406" t="s">
        <v>488</v>
      </c>
      <c r="C312" s="400">
        <f t="shared" ref="C312:H312" si="43">SUM(C313:C321)</f>
        <v>0</v>
      </c>
      <c r="D312" s="380">
        <f t="shared" si="38"/>
        <v>0</v>
      </c>
      <c r="E312" s="395"/>
      <c r="F312" s="403">
        <f t="shared" si="43"/>
        <v>0</v>
      </c>
      <c r="G312" s="404">
        <f t="shared" si="43"/>
        <v>0</v>
      </c>
      <c r="H312" s="404">
        <f t="shared" si="43"/>
        <v>0</v>
      </c>
    </row>
    <row r="313" s="181" customFormat="true" hidden="true" spans="1:6">
      <c r="A313" s="382">
        <v>2040801</v>
      </c>
      <c r="B313" s="383" t="s">
        <v>306</v>
      </c>
      <c r="C313" s="198"/>
      <c r="D313" s="380">
        <f t="shared" si="38"/>
        <v>0</v>
      </c>
      <c r="E313" s="395"/>
      <c r="F313" s="396"/>
    </row>
    <row r="314" s="181" customFormat="true" hidden="true" spans="1:6">
      <c r="A314" s="382">
        <v>2040802</v>
      </c>
      <c r="B314" s="383" t="s">
        <v>307</v>
      </c>
      <c r="C314" s="198"/>
      <c r="D314" s="380">
        <f t="shared" si="38"/>
        <v>0</v>
      </c>
      <c r="E314" s="395"/>
      <c r="F314" s="396"/>
    </row>
    <row r="315" s="181" customFormat="true" hidden="true" spans="1:6">
      <c r="A315" s="382">
        <v>2040803</v>
      </c>
      <c r="B315" s="388" t="s">
        <v>308</v>
      </c>
      <c r="C315" s="198"/>
      <c r="D315" s="380">
        <f t="shared" si="38"/>
        <v>0</v>
      </c>
      <c r="E315" s="395"/>
      <c r="F315" s="396"/>
    </row>
    <row r="316" s="181" customFormat="true" hidden="true" spans="1:6">
      <c r="A316" s="382">
        <v>2040804</v>
      </c>
      <c r="B316" s="388" t="s">
        <v>489</v>
      </c>
      <c r="C316" s="198"/>
      <c r="D316" s="380">
        <f t="shared" si="38"/>
        <v>0</v>
      </c>
      <c r="E316" s="395"/>
      <c r="F316" s="396"/>
    </row>
    <row r="317" s="181" customFormat="true" hidden="true" spans="1:6">
      <c r="A317" s="382">
        <v>2040805</v>
      </c>
      <c r="B317" s="388" t="s">
        <v>490</v>
      </c>
      <c r="C317" s="198"/>
      <c r="D317" s="380">
        <f t="shared" si="38"/>
        <v>0</v>
      </c>
      <c r="E317" s="395"/>
      <c r="F317" s="396"/>
    </row>
    <row r="318" s="181" customFormat="true" hidden="true" spans="1:6">
      <c r="A318" s="382">
        <v>2040806</v>
      </c>
      <c r="B318" s="383" t="s">
        <v>491</v>
      </c>
      <c r="C318" s="198"/>
      <c r="D318" s="380">
        <f t="shared" si="38"/>
        <v>0</v>
      </c>
      <c r="E318" s="395"/>
      <c r="F318" s="396"/>
    </row>
    <row r="319" s="181" customFormat="true" hidden="true" spans="1:6">
      <c r="A319" s="382">
        <v>2040807</v>
      </c>
      <c r="B319" s="383" t="s">
        <v>347</v>
      </c>
      <c r="C319" s="198"/>
      <c r="D319" s="380">
        <f t="shared" si="38"/>
        <v>0</v>
      </c>
      <c r="E319" s="395"/>
      <c r="F319" s="396"/>
    </row>
    <row r="320" s="181" customFormat="true" hidden="true" spans="1:6">
      <c r="A320" s="382">
        <v>2040850</v>
      </c>
      <c r="B320" s="383" t="s">
        <v>315</v>
      </c>
      <c r="C320" s="198"/>
      <c r="D320" s="380">
        <f t="shared" si="38"/>
        <v>0</v>
      </c>
      <c r="E320" s="395"/>
      <c r="F320" s="396"/>
    </row>
    <row r="321" s="181" customFormat="true" hidden="true" spans="1:6">
      <c r="A321" s="382">
        <v>2040899</v>
      </c>
      <c r="B321" s="383" t="s">
        <v>492</v>
      </c>
      <c r="C321" s="198"/>
      <c r="D321" s="380">
        <f t="shared" si="38"/>
        <v>0</v>
      </c>
      <c r="E321" s="395"/>
      <c r="F321" s="396"/>
    </row>
    <row r="322" s="181" customFormat="true" hidden="true" spans="1:8">
      <c r="A322" s="382">
        <v>20409</v>
      </c>
      <c r="B322" s="417" t="s">
        <v>493</v>
      </c>
      <c r="C322" s="400">
        <f t="shared" ref="C322:H322" si="44">SUM(C323:C329)</f>
        <v>0</v>
      </c>
      <c r="D322" s="380">
        <f t="shared" si="38"/>
        <v>0</v>
      </c>
      <c r="E322" s="395"/>
      <c r="F322" s="403">
        <f t="shared" si="44"/>
        <v>0</v>
      </c>
      <c r="G322" s="404">
        <f t="shared" si="44"/>
        <v>0</v>
      </c>
      <c r="H322" s="404">
        <f t="shared" si="44"/>
        <v>0</v>
      </c>
    </row>
    <row r="323" s="181" customFormat="true" hidden="true" spans="1:6">
      <c r="A323" s="382">
        <v>2040901</v>
      </c>
      <c r="B323" s="388" t="s">
        <v>306</v>
      </c>
      <c r="C323" s="198"/>
      <c r="D323" s="380">
        <f t="shared" si="38"/>
        <v>0</v>
      </c>
      <c r="E323" s="395"/>
      <c r="F323" s="396"/>
    </row>
    <row r="324" s="181" customFormat="true" hidden="true" spans="1:6">
      <c r="A324" s="382">
        <v>2040902</v>
      </c>
      <c r="B324" s="388" t="s">
        <v>307</v>
      </c>
      <c r="C324" s="198"/>
      <c r="D324" s="380">
        <f t="shared" si="38"/>
        <v>0</v>
      </c>
      <c r="E324" s="395"/>
      <c r="F324" s="396"/>
    </row>
    <row r="325" s="181" customFormat="true" hidden="true" spans="1:6">
      <c r="A325" s="382">
        <v>2040903</v>
      </c>
      <c r="B325" s="387" t="s">
        <v>308</v>
      </c>
      <c r="C325" s="198"/>
      <c r="D325" s="380">
        <f t="shared" si="38"/>
        <v>0</v>
      </c>
      <c r="E325" s="395"/>
      <c r="F325" s="396"/>
    </row>
    <row r="326" s="181" customFormat="true" hidden="true" spans="1:6">
      <c r="A326" s="382">
        <v>2040904</v>
      </c>
      <c r="B326" s="418" t="s">
        <v>494</v>
      </c>
      <c r="C326" s="198"/>
      <c r="D326" s="380">
        <f t="shared" si="38"/>
        <v>0</v>
      </c>
      <c r="E326" s="395"/>
      <c r="F326" s="396"/>
    </row>
    <row r="327" s="181" customFormat="true" hidden="true" spans="1:6">
      <c r="A327" s="382">
        <v>2040905</v>
      </c>
      <c r="B327" s="383" t="s">
        <v>495</v>
      </c>
      <c r="C327" s="198"/>
      <c r="D327" s="380">
        <f t="shared" si="38"/>
        <v>0</v>
      </c>
      <c r="E327" s="395"/>
      <c r="F327" s="396"/>
    </row>
    <row r="328" s="181" customFormat="true" hidden="true" spans="1:6">
      <c r="A328" s="382">
        <v>2040950</v>
      </c>
      <c r="B328" s="383" t="s">
        <v>315</v>
      </c>
      <c r="C328" s="198"/>
      <c r="D328" s="380">
        <f t="shared" si="38"/>
        <v>0</v>
      </c>
      <c r="E328" s="395"/>
      <c r="F328" s="396"/>
    </row>
    <row r="329" s="181" customFormat="true" hidden="true" spans="1:6">
      <c r="A329" s="382">
        <v>2040999</v>
      </c>
      <c r="B329" s="388" t="s">
        <v>496</v>
      </c>
      <c r="C329" s="198"/>
      <c r="D329" s="380">
        <f t="shared" si="38"/>
        <v>0</v>
      </c>
      <c r="E329" s="395"/>
      <c r="F329" s="396"/>
    </row>
    <row r="330" s="181" customFormat="true" hidden="true" spans="1:8">
      <c r="A330" s="382">
        <v>20410</v>
      </c>
      <c r="B330" s="399" t="s">
        <v>497</v>
      </c>
      <c r="C330" s="400">
        <f t="shared" ref="C330:H330" si="45">SUM(C331:C335)</f>
        <v>0</v>
      </c>
      <c r="D330" s="380">
        <f t="shared" ref="D330:D393" si="46">F330+G330+H330</f>
        <v>0</v>
      </c>
      <c r="E330" s="395"/>
      <c r="F330" s="403">
        <f t="shared" si="45"/>
        <v>0</v>
      </c>
      <c r="G330" s="404">
        <f t="shared" si="45"/>
        <v>0</v>
      </c>
      <c r="H330" s="404">
        <f t="shared" si="45"/>
        <v>0</v>
      </c>
    </row>
    <row r="331" s="181" customFormat="true" hidden="true" spans="1:6">
      <c r="A331" s="382">
        <v>2041001</v>
      </c>
      <c r="B331" s="388" t="s">
        <v>306</v>
      </c>
      <c r="C331" s="198"/>
      <c r="D331" s="380">
        <f t="shared" si="46"/>
        <v>0</v>
      </c>
      <c r="E331" s="395"/>
      <c r="F331" s="396"/>
    </row>
    <row r="332" s="181" customFormat="true" hidden="true" spans="1:6">
      <c r="A332" s="382">
        <v>2041002</v>
      </c>
      <c r="B332" s="383" t="s">
        <v>307</v>
      </c>
      <c r="C332" s="198"/>
      <c r="D332" s="380">
        <f t="shared" si="46"/>
        <v>0</v>
      </c>
      <c r="E332" s="395"/>
      <c r="F332" s="396"/>
    </row>
    <row r="333" s="181" customFormat="true" hidden="true" spans="1:6">
      <c r="A333" s="382">
        <v>2041006</v>
      </c>
      <c r="B333" s="388" t="s">
        <v>347</v>
      </c>
      <c r="C333" s="198"/>
      <c r="D333" s="380">
        <f t="shared" si="46"/>
        <v>0</v>
      </c>
      <c r="E333" s="395"/>
      <c r="F333" s="396"/>
    </row>
    <row r="334" s="181" customFormat="true" hidden="true" spans="1:6">
      <c r="A334" s="382">
        <v>2041007</v>
      </c>
      <c r="B334" s="383" t="s">
        <v>498</v>
      </c>
      <c r="C334" s="198"/>
      <c r="D334" s="380">
        <f t="shared" si="46"/>
        <v>0</v>
      </c>
      <c r="E334" s="395"/>
      <c r="F334" s="396"/>
    </row>
    <row r="335" s="181" customFormat="true" hidden="true" spans="1:6">
      <c r="A335" s="382">
        <v>2041099</v>
      </c>
      <c r="B335" s="388" t="s">
        <v>499</v>
      </c>
      <c r="C335" s="198"/>
      <c r="D335" s="380">
        <f t="shared" si="46"/>
        <v>0</v>
      </c>
      <c r="E335" s="395"/>
      <c r="F335" s="396"/>
    </row>
    <row r="336" s="360" customFormat="true" spans="1:8">
      <c r="A336" s="377">
        <v>20499</v>
      </c>
      <c r="B336" s="378" t="s">
        <v>500</v>
      </c>
      <c r="C336" s="379">
        <f t="shared" ref="C336:H336" si="47">SUM(C337:C338)</f>
        <v>901</v>
      </c>
      <c r="D336" s="380">
        <f t="shared" si="46"/>
        <v>267</v>
      </c>
      <c r="E336" s="224">
        <f t="shared" ref="E336:E342" si="48">(D336/C336-1)</f>
        <v>-0.703662597114317</v>
      </c>
      <c r="F336" s="397">
        <f t="shared" si="47"/>
        <v>0</v>
      </c>
      <c r="G336" s="402">
        <f t="shared" si="47"/>
        <v>0</v>
      </c>
      <c r="H336" s="402">
        <f t="shared" si="47"/>
        <v>267</v>
      </c>
    </row>
    <row r="337" s="360" customFormat="true" hidden="true" spans="1:6">
      <c r="A337" s="377">
        <v>2049902</v>
      </c>
      <c r="B337" s="378" t="s">
        <v>501</v>
      </c>
      <c r="C337" s="381">
        <v>3</v>
      </c>
      <c r="D337" s="380">
        <f t="shared" si="46"/>
        <v>0</v>
      </c>
      <c r="E337" s="224">
        <f t="shared" si="48"/>
        <v>-1</v>
      </c>
      <c r="F337" s="380"/>
    </row>
    <row r="338" s="360" customFormat="true" spans="1:8">
      <c r="A338" s="377">
        <v>2049999</v>
      </c>
      <c r="B338" s="378" t="s">
        <v>502</v>
      </c>
      <c r="C338" s="381">
        <v>898</v>
      </c>
      <c r="D338" s="380">
        <f t="shared" si="46"/>
        <v>267</v>
      </c>
      <c r="E338" s="224">
        <f t="shared" si="48"/>
        <v>-0.702672605790646</v>
      </c>
      <c r="F338" s="380"/>
      <c r="H338" s="360">
        <v>267</v>
      </c>
    </row>
    <row r="339" s="362" customFormat="true" spans="1:8">
      <c r="A339" s="373">
        <v>205</v>
      </c>
      <c r="B339" s="409" t="s">
        <v>503</v>
      </c>
      <c r="C339" s="375">
        <f t="shared" ref="C339:H339" si="49">SUM(C340,C345,C352,C358,C364,C368,C372,C376,C382,C389)</f>
        <v>46392</v>
      </c>
      <c r="D339" s="376">
        <f t="shared" si="46"/>
        <v>45356</v>
      </c>
      <c r="E339" s="224">
        <f t="shared" si="48"/>
        <v>-0.0223314364545611</v>
      </c>
      <c r="F339" s="415">
        <f t="shared" si="49"/>
        <v>30769</v>
      </c>
      <c r="G339" s="362">
        <f t="shared" si="49"/>
        <v>2666</v>
      </c>
      <c r="H339" s="362">
        <f t="shared" si="49"/>
        <v>11921</v>
      </c>
    </row>
    <row r="340" s="360" customFormat="true" spans="1:8">
      <c r="A340" s="377">
        <v>20501</v>
      </c>
      <c r="B340" s="384" t="s">
        <v>504</v>
      </c>
      <c r="C340" s="379">
        <f t="shared" ref="C340:H340" si="50">SUM(C341:C344)</f>
        <v>808</v>
      </c>
      <c r="D340" s="380">
        <f t="shared" si="46"/>
        <v>1161</v>
      </c>
      <c r="E340" s="224">
        <f t="shared" si="48"/>
        <v>0.436881188118812</v>
      </c>
      <c r="F340" s="397">
        <f t="shared" si="50"/>
        <v>724</v>
      </c>
      <c r="G340" s="402">
        <f t="shared" si="50"/>
        <v>399</v>
      </c>
      <c r="H340" s="402">
        <f t="shared" si="50"/>
        <v>38</v>
      </c>
    </row>
    <row r="341" s="360" customFormat="true" spans="1:6">
      <c r="A341" s="377">
        <v>2050101</v>
      </c>
      <c r="B341" s="378" t="s">
        <v>306</v>
      </c>
      <c r="C341" s="381">
        <v>678</v>
      </c>
      <c r="D341" s="380">
        <f t="shared" si="46"/>
        <v>616</v>
      </c>
      <c r="E341" s="224">
        <f t="shared" si="48"/>
        <v>-0.0914454277286135</v>
      </c>
      <c r="F341" s="380">
        <v>616</v>
      </c>
    </row>
    <row r="342" s="360" customFormat="true" spans="1:8">
      <c r="A342" s="377">
        <v>2050102</v>
      </c>
      <c r="B342" s="378" t="s">
        <v>307</v>
      </c>
      <c r="C342" s="381">
        <v>130</v>
      </c>
      <c r="D342" s="380">
        <f t="shared" si="46"/>
        <v>123</v>
      </c>
      <c r="E342" s="224">
        <f t="shared" si="48"/>
        <v>-0.0538461538461539</v>
      </c>
      <c r="F342" s="380">
        <v>108</v>
      </c>
      <c r="H342" s="360">
        <v>15</v>
      </c>
    </row>
    <row r="343" s="181" customFormat="true" hidden="true" spans="1:6">
      <c r="A343" s="382">
        <v>2050103</v>
      </c>
      <c r="B343" s="388" t="s">
        <v>308</v>
      </c>
      <c r="C343" s="198"/>
      <c r="D343" s="380">
        <f t="shared" si="46"/>
        <v>0</v>
      </c>
      <c r="E343" s="224"/>
      <c r="F343" s="396"/>
    </row>
    <row r="344" s="181" customFormat="true" spans="1:9">
      <c r="A344" s="382">
        <v>2050199</v>
      </c>
      <c r="B344" s="418" t="s">
        <v>505</v>
      </c>
      <c r="C344" s="198"/>
      <c r="D344" s="380">
        <f t="shared" si="46"/>
        <v>422</v>
      </c>
      <c r="E344" s="224">
        <v>0</v>
      </c>
      <c r="F344" s="396"/>
      <c r="G344" s="181">
        <f>30+354+15</f>
        <v>399</v>
      </c>
      <c r="H344" s="181">
        <v>23</v>
      </c>
      <c r="I344" s="181" t="s">
        <v>506</v>
      </c>
    </row>
    <row r="345" s="360" customFormat="true" spans="1:8">
      <c r="A345" s="377">
        <v>20502</v>
      </c>
      <c r="B345" s="378" t="s">
        <v>507</v>
      </c>
      <c r="C345" s="379">
        <f t="shared" ref="C345:H345" si="51">SUM(C346:C351)</f>
        <v>30087</v>
      </c>
      <c r="D345" s="380">
        <f t="shared" si="46"/>
        <v>32004</v>
      </c>
      <c r="E345" s="224">
        <f>(D345/C345-1)</f>
        <v>0.0637152258450493</v>
      </c>
      <c r="F345" s="397">
        <f t="shared" si="51"/>
        <v>23179</v>
      </c>
      <c r="G345" s="402">
        <f t="shared" si="51"/>
        <v>692</v>
      </c>
      <c r="H345" s="402">
        <f t="shared" si="51"/>
        <v>8133</v>
      </c>
    </row>
    <row r="346" s="360" customFormat="true" spans="1:8">
      <c r="A346" s="377">
        <v>2050201</v>
      </c>
      <c r="B346" s="378" t="s">
        <v>508</v>
      </c>
      <c r="C346" s="381">
        <v>2633</v>
      </c>
      <c r="D346" s="380">
        <f t="shared" si="46"/>
        <v>1720</v>
      </c>
      <c r="E346" s="224">
        <f>(D346/C346-1)</f>
        <v>-0.346752753513103</v>
      </c>
      <c r="F346" s="380">
        <v>1601</v>
      </c>
      <c r="H346" s="360">
        <v>119</v>
      </c>
    </row>
    <row r="347" s="360" customFormat="true" spans="1:8">
      <c r="A347" s="377">
        <v>2050202</v>
      </c>
      <c r="B347" s="378" t="s">
        <v>509</v>
      </c>
      <c r="C347" s="381">
        <f>3201+2500</f>
        <v>5701</v>
      </c>
      <c r="D347" s="380">
        <f t="shared" si="46"/>
        <v>2669</v>
      </c>
      <c r="E347" s="224">
        <f>(D347/C347-1)</f>
        <v>-0.531836519908788</v>
      </c>
      <c r="F347" s="380">
        <v>2487</v>
      </c>
      <c r="H347" s="360">
        <v>182</v>
      </c>
    </row>
    <row r="348" s="360" customFormat="true" spans="1:8">
      <c r="A348" s="377">
        <v>2050203</v>
      </c>
      <c r="B348" s="384" t="s">
        <v>510</v>
      </c>
      <c r="C348" s="381">
        <v>2866</v>
      </c>
      <c r="D348" s="380">
        <f t="shared" si="46"/>
        <v>1873</v>
      </c>
      <c r="E348" s="224">
        <f>(D348/C348-1)</f>
        <v>-0.346475924633636</v>
      </c>
      <c r="F348" s="380">
        <v>1054</v>
      </c>
      <c r="H348" s="360">
        <v>819</v>
      </c>
    </row>
    <row r="349" s="360" customFormat="true" spans="1:9">
      <c r="A349" s="377">
        <v>2050204</v>
      </c>
      <c r="B349" s="384" t="s">
        <v>511</v>
      </c>
      <c r="C349" s="381">
        <f>17434+1000</f>
        <v>18434</v>
      </c>
      <c r="D349" s="380">
        <f t="shared" si="46"/>
        <v>19590</v>
      </c>
      <c r="E349" s="224">
        <f>(D349/C349-1)</f>
        <v>0.0627102093956819</v>
      </c>
      <c r="F349" s="380">
        <v>17946</v>
      </c>
      <c r="G349" s="360">
        <v>627</v>
      </c>
      <c r="H349" s="360">
        <v>1017</v>
      </c>
      <c r="I349" s="360" t="s">
        <v>512</v>
      </c>
    </row>
    <row r="350" s="181" customFormat="true" hidden="true" spans="1:6">
      <c r="A350" s="382">
        <v>2050205</v>
      </c>
      <c r="B350" s="383" t="s">
        <v>513</v>
      </c>
      <c r="C350" s="198">
        <v>0</v>
      </c>
      <c r="D350" s="380">
        <f t="shared" si="46"/>
        <v>0</v>
      </c>
      <c r="E350" s="395"/>
      <c r="F350" s="396"/>
    </row>
    <row r="351" s="360" customFormat="true" spans="1:9">
      <c r="A351" s="377">
        <v>2050299</v>
      </c>
      <c r="B351" s="378" t="s">
        <v>514</v>
      </c>
      <c r="C351" s="381">
        <v>453</v>
      </c>
      <c r="D351" s="380">
        <f t="shared" si="46"/>
        <v>6152</v>
      </c>
      <c r="E351" s="224">
        <f>(D351/C351-1)</f>
        <v>12.5805739514349</v>
      </c>
      <c r="F351" s="380">
        <v>91</v>
      </c>
      <c r="G351" s="360">
        <v>65</v>
      </c>
      <c r="H351" s="360">
        <f>602+221+5173</f>
        <v>5996</v>
      </c>
      <c r="I351" s="181" t="s">
        <v>506</v>
      </c>
    </row>
    <row r="352" s="360" customFormat="true" spans="1:8">
      <c r="A352" s="377">
        <v>20503</v>
      </c>
      <c r="B352" s="378" t="s">
        <v>515</v>
      </c>
      <c r="C352" s="379">
        <f t="shared" ref="C352:H352" si="52">SUM(C353:C357)</f>
        <v>8566</v>
      </c>
      <c r="D352" s="380">
        <f t="shared" si="46"/>
        <v>7075</v>
      </c>
      <c r="E352" s="224">
        <f>(D352/C352-1)</f>
        <v>-0.174060238150829</v>
      </c>
      <c r="F352" s="397">
        <f t="shared" si="52"/>
        <v>2751</v>
      </c>
      <c r="G352" s="402">
        <f t="shared" si="52"/>
        <v>1575</v>
      </c>
      <c r="H352" s="402">
        <f t="shared" si="52"/>
        <v>2749</v>
      </c>
    </row>
    <row r="353" s="181" customFormat="true" hidden="true" spans="1:6">
      <c r="A353" s="382">
        <v>2050301</v>
      </c>
      <c r="B353" s="388" t="s">
        <v>516</v>
      </c>
      <c r="C353" s="198"/>
      <c r="D353" s="380">
        <f t="shared" si="46"/>
        <v>0</v>
      </c>
      <c r="E353" s="395"/>
      <c r="F353" s="396"/>
    </row>
    <row r="354" s="360" customFormat="true" spans="1:9">
      <c r="A354" s="377">
        <v>2050302</v>
      </c>
      <c r="B354" s="378" t="s">
        <v>517</v>
      </c>
      <c r="C354" s="381">
        <v>8566</v>
      </c>
      <c r="D354" s="380">
        <f t="shared" si="46"/>
        <v>7075</v>
      </c>
      <c r="E354" s="224">
        <f>(D354/C354-1)</f>
        <v>-0.174060238150829</v>
      </c>
      <c r="F354" s="380">
        <v>2751</v>
      </c>
      <c r="G354" s="360">
        <v>1575</v>
      </c>
      <c r="H354" s="360">
        <v>2749</v>
      </c>
      <c r="I354" s="360" t="s">
        <v>512</v>
      </c>
    </row>
    <row r="355" s="181" customFormat="true" hidden="true" spans="1:6">
      <c r="A355" s="382">
        <v>2050303</v>
      </c>
      <c r="B355" s="388" t="s">
        <v>518</v>
      </c>
      <c r="C355" s="198"/>
      <c r="D355" s="380">
        <f t="shared" si="46"/>
        <v>0</v>
      </c>
      <c r="E355" s="395"/>
      <c r="F355" s="396"/>
    </row>
    <row r="356" s="181" customFormat="true" hidden="true" spans="1:6">
      <c r="A356" s="382">
        <v>2050305</v>
      </c>
      <c r="B356" s="383" t="s">
        <v>519</v>
      </c>
      <c r="C356" s="198"/>
      <c r="D356" s="380">
        <f t="shared" si="46"/>
        <v>0</v>
      </c>
      <c r="E356" s="395"/>
      <c r="F356" s="396"/>
    </row>
    <row r="357" s="181" customFormat="true" hidden="true" spans="1:6">
      <c r="A357" s="382">
        <v>2050399</v>
      </c>
      <c r="B357" s="383" t="s">
        <v>520</v>
      </c>
      <c r="C357" s="198"/>
      <c r="D357" s="380">
        <f t="shared" si="46"/>
        <v>0</v>
      </c>
      <c r="E357" s="395"/>
      <c r="F357" s="396"/>
    </row>
    <row r="358" s="181" customFormat="true" hidden="true" spans="1:8">
      <c r="A358" s="382">
        <v>20504</v>
      </c>
      <c r="B358" s="417" t="s">
        <v>521</v>
      </c>
      <c r="C358" s="400">
        <f t="shared" ref="C358:H358" si="53">SUM(C359:C363)</f>
        <v>0</v>
      </c>
      <c r="D358" s="380">
        <f t="shared" si="46"/>
        <v>0</v>
      </c>
      <c r="E358" s="395"/>
      <c r="F358" s="403">
        <f t="shared" si="53"/>
        <v>0</v>
      </c>
      <c r="G358" s="404">
        <f t="shared" si="53"/>
        <v>0</v>
      </c>
      <c r="H358" s="404">
        <f t="shared" si="53"/>
        <v>0</v>
      </c>
    </row>
    <row r="359" s="181" customFormat="true" hidden="true" spans="1:6">
      <c r="A359" s="382">
        <v>2050401</v>
      </c>
      <c r="B359" s="388" t="s">
        <v>522</v>
      </c>
      <c r="C359" s="198"/>
      <c r="D359" s="380">
        <f t="shared" si="46"/>
        <v>0</v>
      </c>
      <c r="E359" s="395"/>
      <c r="F359" s="396"/>
    </row>
    <row r="360" s="181" customFormat="true" hidden="true" spans="1:6">
      <c r="A360" s="382">
        <v>2050402</v>
      </c>
      <c r="B360" s="388" t="s">
        <v>523</v>
      </c>
      <c r="C360" s="198"/>
      <c r="D360" s="380">
        <f t="shared" si="46"/>
        <v>0</v>
      </c>
      <c r="E360" s="395"/>
      <c r="F360" s="396"/>
    </row>
    <row r="361" s="181" customFormat="true" hidden="true" spans="1:6">
      <c r="A361" s="382">
        <v>2050403</v>
      </c>
      <c r="B361" s="388" t="s">
        <v>524</v>
      </c>
      <c r="C361" s="198"/>
      <c r="D361" s="380">
        <f t="shared" si="46"/>
        <v>0</v>
      </c>
      <c r="E361" s="395"/>
      <c r="F361" s="396"/>
    </row>
    <row r="362" s="181" customFormat="true" hidden="true" spans="1:6">
      <c r="A362" s="382">
        <v>2050404</v>
      </c>
      <c r="B362" s="383" t="s">
        <v>525</v>
      </c>
      <c r="C362" s="198"/>
      <c r="D362" s="380">
        <f t="shared" si="46"/>
        <v>0</v>
      </c>
      <c r="E362" s="395"/>
      <c r="F362" s="396"/>
    </row>
    <row r="363" s="181" customFormat="true" hidden="true" spans="1:6">
      <c r="A363" s="382">
        <v>2050499</v>
      </c>
      <c r="B363" s="383" t="s">
        <v>526</v>
      </c>
      <c r="C363" s="198"/>
      <c r="D363" s="380">
        <f t="shared" si="46"/>
        <v>0</v>
      </c>
      <c r="E363" s="395"/>
      <c r="F363" s="396"/>
    </row>
    <row r="364" s="181" customFormat="true" hidden="true" spans="1:8">
      <c r="A364" s="382">
        <v>20505</v>
      </c>
      <c r="B364" s="406" t="s">
        <v>527</v>
      </c>
      <c r="C364" s="400">
        <f t="shared" ref="C364:H364" si="54">SUM(C365:C367)</f>
        <v>0</v>
      </c>
      <c r="D364" s="380">
        <f t="shared" si="46"/>
        <v>0</v>
      </c>
      <c r="E364" s="395"/>
      <c r="F364" s="403">
        <f t="shared" si="54"/>
        <v>0</v>
      </c>
      <c r="G364" s="404">
        <f t="shared" si="54"/>
        <v>0</v>
      </c>
      <c r="H364" s="404">
        <f t="shared" si="54"/>
        <v>0</v>
      </c>
    </row>
    <row r="365" s="181" customFormat="true" hidden="true" spans="1:6">
      <c r="A365" s="382">
        <v>2050501</v>
      </c>
      <c r="B365" s="388" t="s">
        <v>528</v>
      </c>
      <c r="C365" s="198"/>
      <c r="D365" s="380">
        <f t="shared" si="46"/>
        <v>0</v>
      </c>
      <c r="E365" s="395"/>
      <c r="F365" s="396"/>
    </row>
    <row r="366" s="181" customFormat="true" hidden="true" spans="1:6">
      <c r="A366" s="382">
        <v>2050502</v>
      </c>
      <c r="B366" s="388" t="s">
        <v>529</v>
      </c>
      <c r="C366" s="198"/>
      <c r="D366" s="380">
        <f t="shared" si="46"/>
        <v>0</v>
      </c>
      <c r="E366" s="395"/>
      <c r="F366" s="396"/>
    </row>
    <row r="367" s="181" customFormat="true" hidden="true" spans="1:6">
      <c r="A367" s="382">
        <v>2050599</v>
      </c>
      <c r="B367" s="388" t="s">
        <v>530</v>
      </c>
      <c r="C367" s="198"/>
      <c r="D367" s="380">
        <f t="shared" si="46"/>
        <v>0</v>
      </c>
      <c r="E367" s="395"/>
      <c r="F367" s="396"/>
    </row>
    <row r="368" s="181" customFormat="true" hidden="true" spans="1:8">
      <c r="A368" s="382">
        <v>20506</v>
      </c>
      <c r="B368" s="406" t="s">
        <v>531</v>
      </c>
      <c r="C368" s="400">
        <f t="shared" ref="C368:H368" si="55">SUM(C369:C371)</f>
        <v>0</v>
      </c>
      <c r="D368" s="380">
        <f t="shared" si="46"/>
        <v>0</v>
      </c>
      <c r="E368" s="395"/>
      <c r="F368" s="403">
        <f t="shared" si="55"/>
        <v>0</v>
      </c>
      <c r="G368" s="404">
        <f t="shared" si="55"/>
        <v>0</v>
      </c>
      <c r="H368" s="404">
        <f t="shared" si="55"/>
        <v>0</v>
      </c>
    </row>
    <row r="369" s="181" customFormat="true" hidden="true" spans="1:6">
      <c r="A369" s="382">
        <v>2050601</v>
      </c>
      <c r="B369" s="383" t="s">
        <v>532</v>
      </c>
      <c r="C369" s="198"/>
      <c r="D369" s="380">
        <f t="shared" si="46"/>
        <v>0</v>
      </c>
      <c r="E369" s="395"/>
      <c r="F369" s="396"/>
    </row>
    <row r="370" s="181" customFormat="true" hidden="true" spans="1:6">
      <c r="A370" s="382">
        <v>2050602</v>
      </c>
      <c r="B370" s="383" t="s">
        <v>533</v>
      </c>
      <c r="C370" s="198"/>
      <c r="D370" s="380">
        <f t="shared" si="46"/>
        <v>0</v>
      </c>
      <c r="E370" s="395"/>
      <c r="F370" s="396"/>
    </row>
    <row r="371" s="181" customFormat="true" hidden="true" spans="1:6">
      <c r="A371" s="382">
        <v>2050699</v>
      </c>
      <c r="B371" s="385" t="s">
        <v>534</v>
      </c>
      <c r="C371" s="198"/>
      <c r="D371" s="380">
        <f t="shared" si="46"/>
        <v>0</v>
      </c>
      <c r="E371" s="395"/>
      <c r="F371" s="396"/>
    </row>
    <row r="372" s="360" customFormat="true" spans="1:8">
      <c r="A372" s="377">
        <v>20507</v>
      </c>
      <c r="B372" s="378" t="s">
        <v>535</v>
      </c>
      <c r="C372" s="379">
        <f t="shared" ref="C372:H372" si="56">SUM(C373:C375)</f>
        <v>2017</v>
      </c>
      <c r="D372" s="380">
        <f t="shared" si="46"/>
        <v>1916</v>
      </c>
      <c r="E372" s="224">
        <f>(D372/C372-1)</f>
        <v>-0.0500743678730788</v>
      </c>
      <c r="F372" s="397">
        <f t="shared" si="56"/>
        <v>1895</v>
      </c>
      <c r="G372" s="402">
        <f t="shared" si="56"/>
        <v>0</v>
      </c>
      <c r="H372" s="402">
        <f t="shared" si="56"/>
        <v>21</v>
      </c>
    </row>
    <row r="373" s="360" customFormat="true" spans="1:8">
      <c r="A373" s="377">
        <v>2050701</v>
      </c>
      <c r="B373" s="378" t="s">
        <v>536</v>
      </c>
      <c r="C373" s="381">
        <v>2017</v>
      </c>
      <c r="D373" s="380">
        <f t="shared" si="46"/>
        <v>1916</v>
      </c>
      <c r="E373" s="224">
        <f>(D373/C373-1)</f>
        <v>-0.0500743678730788</v>
      </c>
      <c r="F373" s="380">
        <v>1895</v>
      </c>
      <c r="H373" s="360">
        <v>21</v>
      </c>
    </row>
    <row r="374" s="181" customFormat="true" hidden="true" spans="1:6">
      <c r="A374" s="382">
        <v>2050702</v>
      </c>
      <c r="B374" s="388" t="s">
        <v>537</v>
      </c>
      <c r="C374" s="198"/>
      <c r="D374" s="380">
        <f t="shared" si="46"/>
        <v>0</v>
      </c>
      <c r="E374" s="395"/>
      <c r="F374" s="396"/>
    </row>
    <row r="375" s="181" customFormat="true" hidden="true" spans="1:6">
      <c r="A375" s="382">
        <v>2050799</v>
      </c>
      <c r="B375" s="383" t="s">
        <v>538</v>
      </c>
      <c r="C375" s="198"/>
      <c r="D375" s="380">
        <f t="shared" si="46"/>
        <v>0</v>
      </c>
      <c r="E375" s="395"/>
      <c r="F375" s="396"/>
    </row>
    <row r="376" s="360" customFormat="true" spans="1:8">
      <c r="A376" s="377">
        <v>20508</v>
      </c>
      <c r="B376" s="384" t="s">
        <v>539</v>
      </c>
      <c r="C376" s="379">
        <f t="shared" ref="C376:H376" si="57">SUM(C377:C381)</f>
        <v>1042</v>
      </c>
      <c r="D376" s="380">
        <f t="shared" si="46"/>
        <v>1272</v>
      </c>
      <c r="E376" s="224">
        <f>(D376/C376-1)</f>
        <v>0.220729366602687</v>
      </c>
      <c r="F376" s="397">
        <f t="shared" si="57"/>
        <v>986</v>
      </c>
      <c r="G376" s="402">
        <f t="shared" si="57"/>
        <v>0</v>
      </c>
      <c r="H376" s="402">
        <f t="shared" si="57"/>
        <v>286</v>
      </c>
    </row>
    <row r="377" s="181" customFormat="true" hidden="true" spans="1:6">
      <c r="A377" s="382">
        <v>2050801</v>
      </c>
      <c r="B377" s="383" t="s">
        <v>540</v>
      </c>
      <c r="C377" s="198"/>
      <c r="D377" s="380">
        <f t="shared" si="46"/>
        <v>0</v>
      </c>
      <c r="E377" s="395"/>
      <c r="F377" s="396"/>
    </row>
    <row r="378" s="360" customFormat="true" spans="1:8">
      <c r="A378" s="377">
        <v>2050802</v>
      </c>
      <c r="B378" s="378" t="s">
        <v>541</v>
      </c>
      <c r="C378" s="381">
        <v>1042</v>
      </c>
      <c r="D378" s="380">
        <f t="shared" si="46"/>
        <v>1039</v>
      </c>
      <c r="E378" s="224">
        <f>(D378/C378-1)</f>
        <v>-0.00287907869481763</v>
      </c>
      <c r="F378" s="380">
        <v>986</v>
      </c>
      <c r="H378" s="360">
        <v>53</v>
      </c>
    </row>
    <row r="379" s="181" customFormat="true" spans="1:8">
      <c r="A379" s="382">
        <v>2050803</v>
      </c>
      <c r="B379" s="388" t="s">
        <v>542</v>
      </c>
      <c r="C379" s="198"/>
      <c r="D379" s="380">
        <f t="shared" si="46"/>
        <v>233</v>
      </c>
      <c r="E379" s="395"/>
      <c r="F379" s="396"/>
      <c r="H379" s="181">
        <v>233</v>
      </c>
    </row>
    <row r="380" s="181" customFormat="true" hidden="true" spans="1:6">
      <c r="A380" s="382">
        <v>2050804</v>
      </c>
      <c r="B380" s="388" t="s">
        <v>543</v>
      </c>
      <c r="C380" s="198"/>
      <c r="D380" s="380">
        <f t="shared" si="46"/>
        <v>0</v>
      </c>
      <c r="E380" s="395"/>
      <c r="F380" s="396"/>
    </row>
    <row r="381" s="181" customFormat="true" hidden="true" spans="1:6">
      <c r="A381" s="382">
        <v>2050899</v>
      </c>
      <c r="B381" s="388" t="s">
        <v>544</v>
      </c>
      <c r="C381" s="198"/>
      <c r="D381" s="380">
        <f t="shared" si="46"/>
        <v>0</v>
      </c>
      <c r="E381" s="395"/>
      <c r="F381" s="396"/>
    </row>
    <row r="382" s="360" customFormat="true" spans="1:8">
      <c r="A382" s="377">
        <v>20509</v>
      </c>
      <c r="B382" s="378" t="s">
        <v>545</v>
      </c>
      <c r="C382" s="379">
        <f t="shared" ref="C382:H382" si="58">SUM(C383:C388)</f>
        <v>2109</v>
      </c>
      <c r="D382" s="380">
        <f t="shared" si="46"/>
        <v>1081</v>
      </c>
      <c r="E382" s="224">
        <f>(D382/C382-1)</f>
        <v>-0.487434803224277</v>
      </c>
      <c r="F382" s="397">
        <f t="shared" si="58"/>
        <v>958</v>
      </c>
      <c r="G382" s="402">
        <f t="shared" si="58"/>
        <v>0</v>
      </c>
      <c r="H382" s="402">
        <f t="shared" si="58"/>
        <v>123</v>
      </c>
    </row>
    <row r="383" s="181" customFormat="true" hidden="true" spans="1:6">
      <c r="A383" s="382">
        <v>2050901</v>
      </c>
      <c r="B383" s="383" t="s">
        <v>546</v>
      </c>
      <c r="C383" s="198"/>
      <c r="D383" s="380">
        <f t="shared" si="46"/>
        <v>0</v>
      </c>
      <c r="E383" s="395"/>
      <c r="F383" s="396"/>
    </row>
    <row r="384" s="181" customFormat="true" hidden="true" spans="1:6">
      <c r="A384" s="382">
        <v>2050902</v>
      </c>
      <c r="B384" s="383" t="s">
        <v>547</v>
      </c>
      <c r="C384" s="198"/>
      <c r="D384" s="380">
        <f t="shared" si="46"/>
        <v>0</v>
      </c>
      <c r="E384" s="395"/>
      <c r="F384" s="396"/>
    </row>
    <row r="385" s="181" customFormat="true" hidden="true" spans="1:6">
      <c r="A385" s="382">
        <v>2050903</v>
      </c>
      <c r="B385" s="383" t="s">
        <v>548</v>
      </c>
      <c r="C385" s="198"/>
      <c r="D385" s="380">
        <f t="shared" si="46"/>
        <v>0</v>
      </c>
      <c r="E385" s="395"/>
      <c r="F385" s="396"/>
    </row>
    <row r="386" s="181" customFormat="true" hidden="true" spans="1:6">
      <c r="A386" s="382">
        <v>2050904</v>
      </c>
      <c r="B386" s="385" t="s">
        <v>549</v>
      </c>
      <c r="C386" s="198"/>
      <c r="D386" s="380">
        <f t="shared" si="46"/>
        <v>0</v>
      </c>
      <c r="E386" s="395"/>
      <c r="F386" s="396"/>
    </row>
    <row r="387" s="181" customFormat="true" hidden="true" spans="1:6">
      <c r="A387" s="382">
        <v>2050905</v>
      </c>
      <c r="B387" s="388" t="s">
        <v>550</v>
      </c>
      <c r="C387" s="198"/>
      <c r="D387" s="380">
        <f t="shared" si="46"/>
        <v>0</v>
      </c>
      <c r="E387" s="395"/>
      <c r="F387" s="396"/>
    </row>
    <row r="388" s="360" customFormat="true" spans="1:8">
      <c r="A388" s="377">
        <v>2050999</v>
      </c>
      <c r="B388" s="378" t="s">
        <v>551</v>
      </c>
      <c r="C388" s="381">
        <v>2109</v>
      </c>
      <c r="D388" s="380">
        <f t="shared" si="46"/>
        <v>1081</v>
      </c>
      <c r="E388" s="224">
        <f t="shared" ref="E388:E394" si="59">(D388/C388-1)</f>
        <v>-0.487434803224277</v>
      </c>
      <c r="F388" s="380">
        <v>958</v>
      </c>
      <c r="H388" s="360">
        <v>123</v>
      </c>
    </row>
    <row r="389" s="360" customFormat="true" spans="1:8">
      <c r="A389" s="377">
        <v>2059999</v>
      </c>
      <c r="B389" s="419" t="s">
        <v>552</v>
      </c>
      <c r="C389" s="379">
        <v>1763</v>
      </c>
      <c r="D389" s="380">
        <f t="shared" si="46"/>
        <v>847</v>
      </c>
      <c r="E389" s="224">
        <f t="shared" si="59"/>
        <v>-0.519568916619399</v>
      </c>
      <c r="F389" s="397">
        <v>276</v>
      </c>
      <c r="H389" s="360">
        <v>571</v>
      </c>
    </row>
    <row r="390" s="362" customFormat="true" spans="1:8">
      <c r="A390" s="373">
        <v>206</v>
      </c>
      <c r="B390" s="374" t="s">
        <v>553</v>
      </c>
      <c r="C390" s="375">
        <f t="shared" ref="C390:H390" si="60">SUM(C391,C396,C405,C411,C416,C421,C426,C433,C437,C441)</f>
        <v>2937</v>
      </c>
      <c r="D390" s="376">
        <f t="shared" si="46"/>
        <v>3100</v>
      </c>
      <c r="E390" s="224">
        <f t="shared" si="59"/>
        <v>0.055498808307797</v>
      </c>
      <c r="F390" s="415">
        <f t="shared" si="60"/>
        <v>2287</v>
      </c>
      <c r="G390" s="362">
        <f t="shared" si="60"/>
        <v>469</v>
      </c>
      <c r="H390" s="362">
        <f t="shared" si="60"/>
        <v>344</v>
      </c>
    </row>
    <row r="391" s="360" customFormat="true" spans="1:8">
      <c r="A391" s="377">
        <v>20601</v>
      </c>
      <c r="B391" s="384" t="s">
        <v>554</v>
      </c>
      <c r="C391" s="379">
        <f t="shared" ref="C391:H391" si="61">SUM(C392:C395)</f>
        <v>239</v>
      </c>
      <c r="D391" s="380">
        <f t="shared" si="46"/>
        <v>223</v>
      </c>
      <c r="E391" s="224">
        <f t="shared" si="59"/>
        <v>-0.0669456066945606</v>
      </c>
      <c r="F391" s="397">
        <f t="shared" si="61"/>
        <v>222</v>
      </c>
      <c r="G391" s="402">
        <f t="shared" si="61"/>
        <v>0</v>
      </c>
      <c r="H391" s="402">
        <f t="shared" si="61"/>
        <v>1</v>
      </c>
    </row>
    <row r="392" s="360" customFormat="true" spans="1:6">
      <c r="A392" s="377">
        <v>2060101</v>
      </c>
      <c r="B392" s="378" t="s">
        <v>306</v>
      </c>
      <c r="C392" s="381">
        <v>167</v>
      </c>
      <c r="D392" s="380">
        <f t="shared" si="46"/>
        <v>136</v>
      </c>
      <c r="E392" s="224">
        <f t="shared" si="59"/>
        <v>-0.18562874251497</v>
      </c>
      <c r="F392" s="380">
        <v>136</v>
      </c>
    </row>
    <row r="393" s="360" customFormat="true" spans="1:8">
      <c r="A393" s="377">
        <v>2060102</v>
      </c>
      <c r="B393" s="378" t="s">
        <v>307</v>
      </c>
      <c r="C393" s="381">
        <v>15</v>
      </c>
      <c r="D393" s="380">
        <f t="shared" si="46"/>
        <v>15</v>
      </c>
      <c r="E393" s="224">
        <f t="shared" si="59"/>
        <v>0</v>
      </c>
      <c r="F393" s="380">
        <v>14</v>
      </c>
      <c r="H393" s="360">
        <v>1</v>
      </c>
    </row>
    <row r="394" s="360" customFormat="true" hidden="true" spans="1:6">
      <c r="A394" s="377">
        <v>2060103</v>
      </c>
      <c r="B394" s="378" t="s">
        <v>308</v>
      </c>
      <c r="C394" s="381">
        <v>57</v>
      </c>
      <c r="D394" s="380">
        <f t="shared" ref="D394:D457" si="62">F394+G394+H394</f>
        <v>0</v>
      </c>
      <c r="E394" s="224">
        <f t="shared" si="59"/>
        <v>-1</v>
      </c>
      <c r="F394" s="380"/>
    </row>
    <row r="395" s="181" customFormat="true" spans="1:6">
      <c r="A395" s="382">
        <v>2060199</v>
      </c>
      <c r="B395" s="383" t="s">
        <v>555</v>
      </c>
      <c r="C395" s="198"/>
      <c r="D395" s="380">
        <f t="shared" si="62"/>
        <v>72</v>
      </c>
      <c r="E395" s="224">
        <v>0</v>
      </c>
      <c r="F395" s="396">
        <v>72</v>
      </c>
    </row>
    <row r="396" s="181" customFormat="true" spans="1:8">
      <c r="A396" s="382">
        <v>20602</v>
      </c>
      <c r="B396" s="399" t="s">
        <v>556</v>
      </c>
      <c r="C396" s="400">
        <f t="shared" ref="C396:H396" si="63">SUM(C397:C404)</f>
        <v>0</v>
      </c>
      <c r="D396" s="380">
        <f t="shared" si="62"/>
        <v>4</v>
      </c>
      <c r="E396" s="224"/>
      <c r="F396" s="403">
        <f t="shared" si="63"/>
        <v>0</v>
      </c>
      <c r="G396" s="404">
        <f t="shared" si="63"/>
        <v>0</v>
      </c>
      <c r="H396" s="404">
        <f t="shared" si="63"/>
        <v>4</v>
      </c>
    </row>
    <row r="397" s="181" customFormat="true" hidden="true" spans="1:6">
      <c r="A397" s="382">
        <v>2060201</v>
      </c>
      <c r="B397" s="388" t="s">
        <v>557</v>
      </c>
      <c r="C397" s="198"/>
      <c r="D397" s="380">
        <f t="shared" si="62"/>
        <v>0</v>
      </c>
      <c r="E397" s="395"/>
      <c r="F397" s="396"/>
    </row>
    <row r="398" s="181" customFormat="true" spans="1:8">
      <c r="A398" s="382">
        <v>2060203</v>
      </c>
      <c r="B398" s="385" t="s">
        <v>558</v>
      </c>
      <c r="C398" s="198"/>
      <c r="D398" s="380">
        <f t="shared" si="62"/>
        <v>4</v>
      </c>
      <c r="E398" s="395"/>
      <c r="F398" s="396"/>
      <c r="H398" s="181">
        <v>4</v>
      </c>
    </row>
    <row r="399" s="181" customFormat="true" hidden="true" spans="1:6">
      <c r="A399" s="382">
        <v>2060204</v>
      </c>
      <c r="B399" s="388" t="s">
        <v>559</v>
      </c>
      <c r="C399" s="198"/>
      <c r="D399" s="380">
        <f t="shared" si="62"/>
        <v>0</v>
      </c>
      <c r="E399" s="395"/>
      <c r="F399" s="396"/>
    </row>
    <row r="400" s="181" customFormat="true" hidden="true" spans="1:6">
      <c r="A400" s="382">
        <v>2060205</v>
      </c>
      <c r="B400" s="388" t="s">
        <v>560</v>
      </c>
      <c r="C400" s="198"/>
      <c r="D400" s="380">
        <f t="shared" si="62"/>
        <v>0</v>
      </c>
      <c r="E400" s="395"/>
      <c r="F400" s="396"/>
    </row>
    <row r="401" s="181" customFormat="true" hidden="true" spans="1:6">
      <c r="A401" s="382">
        <v>2060206</v>
      </c>
      <c r="B401" s="388" t="s">
        <v>561</v>
      </c>
      <c r="C401" s="198"/>
      <c r="D401" s="380">
        <f t="shared" si="62"/>
        <v>0</v>
      </c>
      <c r="E401" s="395"/>
      <c r="F401" s="396"/>
    </row>
    <row r="402" s="181" customFormat="true" hidden="true" spans="1:6">
      <c r="A402" s="382">
        <v>2060207</v>
      </c>
      <c r="B402" s="383" t="s">
        <v>562</v>
      </c>
      <c r="C402" s="198"/>
      <c r="D402" s="380">
        <f t="shared" si="62"/>
        <v>0</v>
      </c>
      <c r="E402" s="395"/>
      <c r="F402" s="396"/>
    </row>
    <row r="403" s="181" customFormat="true" hidden="true" spans="1:6">
      <c r="A403" s="382">
        <v>2060208</v>
      </c>
      <c r="B403" s="383" t="s">
        <v>563</v>
      </c>
      <c r="C403" s="198"/>
      <c r="D403" s="380">
        <f t="shared" si="62"/>
        <v>0</v>
      </c>
      <c r="E403" s="395"/>
      <c r="F403" s="396"/>
    </row>
    <row r="404" s="181" customFormat="true" hidden="true" spans="1:6">
      <c r="A404" s="382">
        <v>2060299</v>
      </c>
      <c r="B404" s="383" t="s">
        <v>564</v>
      </c>
      <c r="C404" s="198"/>
      <c r="D404" s="380">
        <f t="shared" si="62"/>
        <v>0</v>
      </c>
      <c r="E404" s="395"/>
      <c r="F404" s="396"/>
    </row>
    <row r="405" s="181" customFormat="true" hidden="true" spans="1:8">
      <c r="A405" s="382">
        <v>20603</v>
      </c>
      <c r="B405" s="406" t="s">
        <v>565</v>
      </c>
      <c r="C405" s="400">
        <f t="shared" ref="C405:H405" si="64">SUM(C406:C410)</f>
        <v>0</v>
      </c>
      <c r="D405" s="380">
        <f t="shared" si="62"/>
        <v>0</v>
      </c>
      <c r="E405" s="395"/>
      <c r="F405" s="403">
        <f t="shared" si="64"/>
        <v>0</v>
      </c>
      <c r="G405" s="404">
        <f t="shared" si="64"/>
        <v>0</v>
      </c>
      <c r="H405" s="404">
        <f t="shared" si="64"/>
        <v>0</v>
      </c>
    </row>
    <row r="406" s="181" customFormat="true" hidden="true" spans="1:6">
      <c r="A406" s="382">
        <v>2060301</v>
      </c>
      <c r="B406" s="388" t="s">
        <v>557</v>
      </c>
      <c r="C406" s="198"/>
      <c r="D406" s="380">
        <f t="shared" si="62"/>
        <v>0</v>
      </c>
      <c r="E406" s="395"/>
      <c r="F406" s="396"/>
    </row>
    <row r="407" s="181" customFormat="true" hidden="true" spans="1:6">
      <c r="A407" s="382">
        <v>2060302</v>
      </c>
      <c r="B407" s="388" t="s">
        <v>566</v>
      </c>
      <c r="C407" s="198"/>
      <c r="D407" s="380">
        <f t="shared" si="62"/>
        <v>0</v>
      </c>
      <c r="E407" s="395"/>
      <c r="F407" s="396"/>
    </row>
    <row r="408" s="181" customFormat="true" hidden="true" spans="1:6">
      <c r="A408" s="382">
        <v>2060303</v>
      </c>
      <c r="B408" s="388" t="s">
        <v>567</v>
      </c>
      <c r="C408" s="198"/>
      <c r="D408" s="380">
        <f t="shared" si="62"/>
        <v>0</v>
      </c>
      <c r="E408" s="395"/>
      <c r="F408" s="396"/>
    </row>
    <row r="409" s="181" customFormat="true" hidden="true" spans="1:6">
      <c r="A409" s="382">
        <v>2060304</v>
      </c>
      <c r="B409" s="383" t="s">
        <v>568</v>
      </c>
      <c r="C409" s="198"/>
      <c r="D409" s="380">
        <f t="shared" si="62"/>
        <v>0</v>
      </c>
      <c r="E409" s="395"/>
      <c r="F409" s="396"/>
    </row>
    <row r="410" s="181" customFormat="true" hidden="true" spans="1:6">
      <c r="A410" s="382">
        <v>2060399</v>
      </c>
      <c r="B410" s="383" t="s">
        <v>569</v>
      </c>
      <c r="C410" s="198"/>
      <c r="D410" s="380">
        <f t="shared" si="62"/>
        <v>0</v>
      </c>
      <c r="E410" s="395"/>
      <c r="F410" s="396"/>
    </row>
    <row r="411" s="360" customFormat="true" spans="1:8">
      <c r="A411" s="377">
        <v>20604</v>
      </c>
      <c r="B411" s="384" t="s">
        <v>570</v>
      </c>
      <c r="C411" s="379">
        <f t="shared" ref="C411:H411" si="65">SUM(C412:C415)</f>
        <v>1477</v>
      </c>
      <c r="D411" s="380">
        <f t="shared" si="62"/>
        <v>2268</v>
      </c>
      <c r="E411" s="224">
        <f>(D411/C411-1)</f>
        <v>0.535545023696683</v>
      </c>
      <c r="F411" s="397">
        <f t="shared" si="65"/>
        <v>1870</v>
      </c>
      <c r="G411" s="402">
        <f t="shared" si="65"/>
        <v>119</v>
      </c>
      <c r="H411" s="402">
        <f t="shared" si="65"/>
        <v>279</v>
      </c>
    </row>
    <row r="412" s="181" customFormat="true" hidden="true" spans="1:6">
      <c r="A412" s="382">
        <v>2060401</v>
      </c>
      <c r="B412" s="385" t="s">
        <v>557</v>
      </c>
      <c r="C412" s="198"/>
      <c r="D412" s="380">
        <f t="shared" si="62"/>
        <v>0</v>
      </c>
      <c r="E412" s="395"/>
      <c r="F412" s="396"/>
    </row>
    <row r="413" s="360" customFormat="true" spans="1:8">
      <c r="A413" s="377">
        <v>2060404</v>
      </c>
      <c r="B413" s="378" t="s">
        <v>571</v>
      </c>
      <c r="C413" s="381">
        <v>108</v>
      </c>
      <c r="D413" s="380">
        <f t="shared" si="62"/>
        <v>33</v>
      </c>
      <c r="E413" s="224">
        <f>(D413/C413-1)</f>
        <v>-0.694444444444444</v>
      </c>
      <c r="F413" s="380"/>
      <c r="H413" s="360">
        <v>33</v>
      </c>
    </row>
    <row r="414" s="181" customFormat="true" spans="1:8">
      <c r="A414" s="382">
        <v>2060405</v>
      </c>
      <c r="B414" s="388" t="s">
        <v>572</v>
      </c>
      <c r="C414" s="198"/>
      <c r="D414" s="380">
        <f t="shared" si="62"/>
        <v>20</v>
      </c>
      <c r="E414" s="395"/>
      <c r="F414" s="396"/>
      <c r="H414" s="181">
        <v>20</v>
      </c>
    </row>
    <row r="415" s="360" customFormat="true" spans="1:8">
      <c r="A415" s="377">
        <v>2060499</v>
      </c>
      <c r="B415" s="384" t="s">
        <v>573</v>
      </c>
      <c r="C415" s="381">
        <v>1369</v>
      </c>
      <c r="D415" s="380">
        <f t="shared" si="62"/>
        <v>2215</v>
      </c>
      <c r="E415" s="224">
        <f>(D415/C415-1)</f>
        <v>0.617969320672023</v>
      </c>
      <c r="F415" s="380">
        <v>1870</v>
      </c>
      <c r="G415" s="360">
        <v>119</v>
      </c>
      <c r="H415" s="360">
        <v>226</v>
      </c>
    </row>
    <row r="416" s="360" customFormat="true" hidden="true" spans="1:8">
      <c r="A416" s="377">
        <v>20605</v>
      </c>
      <c r="B416" s="384" t="s">
        <v>574</v>
      </c>
      <c r="C416" s="379">
        <f t="shared" ref="C416:H416" si="66">SUM(C417:C420)</f>
        <v>150</v>
      </c>
      <c r="D416" s="380">
        <f t="shared" si="62"/>
        <v>0</v>
      </c>
      <c r="E416" s="224">
        <f>(D416/C416-1)</f>
        <v>-1</v>
      </c>
      <c r="F416" s="397">
        <f t="shared" si="66"/>
        <v>0</v>
      </c>
      <c r="G416" s="402">
        <f t="shared" si="66"/>
        <v>0</v>
      </c>
      <c r="H416" s="402">
        <f t="shared" si="66"/>
        <v>0</v>
      </c>
    </row>
    <row r="417" s="181" customFormat="true" hidden="true" spans="1:6">
      <c r="A417" s="382">
        <v>2060501</v>
      </c>
      <c r="B417" s="383" t="s">
        <v>557</v>
      </c>
      <c r="C417" s="198"/>
      <c r="D417" s="380">
        <f t="shared" si="62"/>
        <v>0</v>
      </c>
      <c r="E417" s="395"/>
      <c r="F417" s="396"/>
    </row>
    <row r="418" s="181" customFormat="true" hidden="true" spans="1:6">
      <c r="A418" s="382">
        <v>2060502</v>
      </c>
      <c r="B418" s="388" t="s">
        <v>575</v>
      </c>
      <c r="C418" s="198"/>
      <c r="D418" s="380">
        <f t="shared" si="62"/>
        <v>0</v>
      </c>
      <c r="E418" s="395"/>
      <c r="F418" s="396"/>
    </row>
    <row r="419" s="360" customFormat="true" hidden="true" spans="1:6">
      <c r="A419" s="377">
        <v>2060503</v>
      </c>
      <c r="B419" s="378" t="s">
        <v>576</v>
      </c>
      <c r="C419" s="381">
        <v>150</v>
      </c>
      <c r="D419" s="380">
        <f t="shared" si="62"/>
        <v>0</v>
      </c>
      <c r="E419" s="224">
        <f>(D419/C419-1)</f>
        <v>-1</v>
      </c>
      <c r="F419" s="380"/>
    </row>
    <row r="420" s="181" customFormat="true" hidden="true" spans="1:6">
      <c r="A420" s="382">
        <v>2060599</v>
      </c>
      <c r="B420" s="388" t="s">
        <v>577</v>
      </c>
      <c r="C420" s="198"/>
      <c r="D420" s="380">
        <f t="shared" si="62"/>
        <v>0</v>
      </c>
      <c r="E420" s="395"/>
      <c r="F420" s="396"/>
    </row>
    <row r="421" s="181" customFormat="true" hidden="true" spans="1:8">
      <c r="A421" s="382">
        <v>20606</v>
      </c>
      <c r="B421" s="406" t="s">
        <v>578</v>
      </c>
      <c r="C421" s="400">
        <f t="shared" ref="C421:H421" si="67">SUM(C422:C425)</f>
        <v>0</v>
      </c>
      <c r="D421" s="380">
        <f t="shared" si="62"/>
        <v>0</v>
      </c>
      <c r="E421" s="395"/>
      <c r="F421" s="403">
        <f t="shared" si="67"/>
        <v>0</v>
      </c>
      <c r="G421" s="404">
        <f t="shared" si="67"/>
        <v>0</v>
      </c>
      <c r="H421" s="404">
        <f t="shared" si="67"/>
        <v>0</v>
      </c>
    </row>
    <row r="422" s="181" customFormat="true" hidden="true" spans="1:6">
      <c r="A422" s="382">
        <v>2060601</v>
      </c>
      <c r="B422" s="383" t="s">
        <v>579</v>
      </c>
      <c r="C422" s="198"/>
      <c r="D422" s="380">
        <f t="shared" si="62"/>
        <v>0</v>
      </c>
      <c r="E422" s="395"/>
      <c r="F422" s="396"/>
    </row>
    <row r="423" s="181" customFormat="true" hidden="true" spans="1:6">
      <c r="A423" s="382">
        <v>2060602</v>
      </c>
      <c r="B423" s="383" t="s">
        <v>580</v>
      </c>
      <c r="C423" s="198"/>
      <c r="D423" s="380">
        <f t="shared" si="62"/>
        <v>0</v>
      </c>
      <c r="E423" s="395"/>
      <c r="F423" s="396"/>
    </row>
    <row r="424" s="181" customFormat="true" hidden="true" spans="1:6">
      <c r="A424" s="382">
        <v>2060603</v>
      </c>
      <c r="B424" s="383" t="s">
        <v>581</v>
      </c>
      <c r="C424" s="198"/>
      <c r="D424" s="380">
        <f t="shared" si="62"/>
        <v>0</v>
      </c>
      <c r="E424" s="395"/>
      <c r="F424" s="396"/>
    </row>
    <row r="425" s="181" customFormat="true" hidden="true" spans="1:6">
      <c r="A425" s="382">
        <v>2060699</v>
      </c>
      <c r="B425" s="383" t="s">
        <v>582</v>
      </c>
      <c r="C425" s="198"/>
      <c r="D425" s="380">
        <f t="shared" si="62"/>
        <v>0</v>
      </c>
      <c r="E425" s="395"/>
      <c r="F425" s="396"/>
    </row>
    <row r="426" s="360" customFormat="true" spans="1:8">
      <c r="A426" s="377">
        <v>20607</v>
      </c>
      <c r="B426" s="378" t="s">
        <v>583</v>
      </c>
      <c r="C426" s="379">
        <f t="shared" ref="C426:H426" si="68">SUM(C427:C432)</f>
        <v>1071</v>
      </c>
      <c r="D426" s="380">
        <f t="shared" si="62"/>
        <v>585</v>
      </c>
      <c r="E426" s="224">
        <f>(D426/C426-1)</f>
        <v>-0.453781512605042</v>
      </c>
      <c r="F426" s="397">
        <f t="shared" si="68"/>
        <v>195</v>
      </c>
      <c r="G426" s="402">
        <f t="shared" si="68"/>
        <v>350</v>
      </c>
      <c r="H426" s="402">
        <f t="shared" si="68"/>
        <v>40</v>
      </c>
    </row>
    <row r="427" s="360" customFormat="true" spans="1:6">
      <c r="A427" s="377">
        <v>2060701</v>
      </c>
      <c r="B427" s="378" t="s">
        <v>557</v>
      </c>
      <c r="C427" s="381">
        <v>177</v>
      </c>
      <c r="D427" s="380">
        <f t="shared" si="62"/>
        <v>165</v>
      </c>
      <c r="E427" s="224">
        <f>(D427/C427-1)</f>
        <v>-0.0677966101694916</v>
      </c>
      <c r="F427" s="380">
        <v>165</v>
      </c>
    </row>
    <row r="428" s="360" customFormat="true" spans="1:9">
      <c r="A428" s="377">
        <v>2060702</v>
      </c>
      <c r="B428" s="384" t="s">
        <v>584</v>
      </c>
      <c r="C428" s="381">
        <v>47</v>
      </c>
      <c r="D428" s="380">
        <f t="shared" si="62"/>
        <v>57</v>
      </c>
      <c r="E428" s="224">
        <f>(D428/C428-1)</f>
        <v>0.212765957446809</v>
      </c>
      <c r="F428" s="380">
        <v>26</v>
      </c>
      <c r="G428" s="360">
        <v>30</v>
      </c>
      <c r="H428" s="360">
        <v>1</v>
      </c>
      <c r="I428" s="360" t="s">
        <v>585</v>
      </c>
    </row>
    <row r="429" s="181" customFormat="true" hidden="true" spans="1:6">
      <c r="A429" s="382">
        <v>2060703</v>
      </c>
      <c r="B429" s="383" t="s">
        <v>586</v>
      </c>
      <c r="C429" s="198">
        <v>0</v>
      </c>
      <c r="D429" s="380">
        <f t="shared" si="62"/>
        <v>0</v>
      </c>
      <c r="E429" s="395"/>
      <c r="F429" s="396"/>
    </row>
    <row r="430" s="181" customFormat="true" hidden="true" spans="1:6">
      <c r="A430" s="382">
        <v>2060704</v>
      </c>
      <c r="B430" s="383" t="s">
        <v>587</v>
      </c>
      <c r="C430" s="198">
        <v>0</v>
      </c>
      <c r="D430" s="380">
        <f t="shared" si="62"/>
        <v>0</v>
      </c>
      <c r="E430" s="395"/>
      <c r="F430" s="396"/>
    </row>
    <row r="431" s="360" customFormat="true" spans="1:8">
      <c r="A431" s="377">
        <v>2060705</v>
      </c>
      <c r="B431" s="378" t="s">
        <v>588</v>
      </c>
      <c r="C431" s="381">
        <v>847</v>
      </c>
      <c r="D431" s="380">
        <f t="shared" si="62"/>
        <v>363</v>
      </c>
      <c r="E431" s="224">
        <f>(D431/C431-1)</f>
        <v>-0.571428571428571</v>
      </c>
      <c r="F431" s="380">
        <v>4</v>
      </c>
      <c r="G431" s="360">
        <v>320</v>
      </c>
      <c r="H431" s="360">
        <v>39</v>
      </c>
    </row>
    <row r="432" s="181" customFormat="true" hidden="true" spans="1:6">
      <c r="A432" s="382">
        <v>2060799</v>
      </c>
      <c r="B432" s="388" t="s">
        <v>589</v>
      </c>
      <c r="C432" s="198"/>
      <c r="D432" s="380">
        <f t="shared" si="62"/>
        <v>0</v>
      </c>
      <c r="E432" s="395"/>
      <c r="F432" s="396"/>
    </row>
    <row r="433" s="181" customFormat="true" hidden="true" spans="1:8">
      <c r="A433" s="382">
        <v>20608</v>
      </c>
      <c r="B433" s="399" t="s">
        <v>590</v>
      </c>
      <c r="C433" s="400">
        <f t="shared" ref="C433:H433" si="69">SUM(C434:C436)</f>
        <v>0</v>
      </c>
      <c r="D433" s="380">
        <f t="shared" si="62"/>
        <v>0</v>
      </c>
      <c r="E433" s="395"/>
      <c r="F433" s="403">
        <f t="shared" si="69"/>
        <v>0</v>
      </c>
      <c r="G433" s="404">
        <f t="shared" si="69"/>
        <v>0</v>
      </c>
      <c r="H433" s="404">
        <f t="shared" si="69"/>
        <v>0</v>
      </c>
    </row>
    <row r="434" s="181" customFormat="true" hidden="true" spans="1:6">
      <c r="A434" s="382">
        <v>2060801</v>
      </c>
      <c r="B434" s="383" t="s">
        <v>591</v>
      </c>
      <c r="C434" s="198"/>
      <c r="D434" s="380">
        <f t="shared" si="62"/>
        <v>0</v>
      </c>
      <c r="E434" s="395"/>
      <c r="F434" s="396"/>
    </row>
    <row r="435" s="181" customFormat="true" hidden="true" spans="1:6">
      <c r="A435" s="382">
        <v>2060802</v>
      </c>
      <c r="B435" s="383" t="s">
        <v>592</v>
      </c>
      <c r="C435" s="198"/>
      <c r="D435" s="380">
        <f t="shared" si="62"/>
        <v>0</v>
      </c>
      <c r="E435" s="395"/>
      <c r="F435" s="396"/>
    </row>
    <row r="436" s="181" customFormat="true" hidden="true" spans="1:6">
      <c r="A436" s="382">
        <v>2060899</v>
      </c>
      <c r="B436" s="383" t="s">
        <v>593</v>
      </c>
      <c r="C436" s="198"/>
      <c r="D436" s="380">
        <f t="shared" si="62"/>
        <v>0</v>
      </c>
      <c r="E436" s="395"/>
      <c r="F436" s="396"/>
    </row>
    <row r="437" s="181" customFormat="true" hidden="true" spans="1:8">
      <c r="A437" s="382">
        <v>20609</v>
      </c>
      <c r="B437" s="417" t="s">
        <v>594</v>
      </c>
      <c r="C437" s="400">
        <f t="shared" ref="C437:H437" si="70">SUM(C438:C440)</f>
        <v>0</v>
      </c>
      <c r="D437" s="380">
        <f t="shared" si="62"/>
        <v>0</v>
      </c>
      <c r="E437" s="395"/>
      <c r="F437" s="403">
        <f t="shared" si="70"/>
        <v>0</v>
      </c>
      <c r="G437" s="404">
        <f t="shared" si="70"/>
        <v>0</v>
      </c>
      <c r="H437" s="404">
        <f t="shared" si="70"/>
        <v>0</v>
      </c>
    </row>
    <row r="438" s="181" customFormat="true" hidden="true" spans="1:6">
      <c r="A438" s="382">
        <v>2060901</v>
      </c>
      <c r="B438" s="383" t="s">
        <v>595</v>
      </c>
      <c r="C438" s="198"/>
      <c r="D438" s="380">
        <f t="shared" si="62"/>
        <v>0</v>
      </c>
      <c r="E438" s="395"/>
      <c r="F438" s="396"/>
    </row>
    <row r="439" s="181" customFormat="true" hidden="true" spans="1:6">
      <c r="A439" s="382">
        <v>2060902</v>
      </c>
      <c r="B439" s="383" t="s">
        <v>596</v>
      </c>
      <c r="C439" s="198"/>
      <c r="D439" s="380">
        <f t="shared" si="62"/>
        <v>0</v>
      </c>
      <c r="E439" s="395"/>
      <c r="F439" s="396"/>
    </row>
    <row r="440" s="181" customFormat="true" hidden="true" spans="1:6">
      <c r="A440" s="382">
        <v>2060999</v>
      </c>
      <c r="B440" s="383" t="s">
        <v>597</v>
      </c>
      <c r="C440" s="198"/>
      <c r="D440" s="380">
        <f t="shared" si="62"/>
        <v>0</v>
      </c>
      <c r="E440" s="395"/>
      <c r="F440" s="396"/>
    </row>
    <row r="441" s="181" customFormat="true" spans="1:8">
      <c r="A441" s="382">
        <v>20699</v>
      </c>
      <c r="B441" s="399" t="s">
        <v>598</v>
      </c>
      <c r="C441" s="400">
        <f t="shared" ref="C441:H441" si="71">SUM(C442:C445)</f>
        <v>0</v>
      </c>
      <c r="D441" s="380">
        <f t="shared" si="62"/>
        <v>20</v>
      </c>
      <c r="E441" s="224">
        <v>0</v>
      </c>
      <c r="F441" s="403">
        <f t="shared" si="71"/>
        <v>0</v>
      </c>
      <c r="G441" s="404">
        <f t="shared" si="71"/>
        <v>0</v>
      </c>
      <c r="H441" s="404">
        <f t="shared" si="71"/>
        <v>20</v>
      </c>
    </row>
    <row r="442" s="181" customFormat="true" hidden="true" spans="1:6">
      <c r="A442" s="382">
        <v>2069901</v>
      </c>
      <c r="B442" s="388" t="s">
        <v>599</v>
      </c>
      <c r="C442" s="198"/>
      <c r="D442" s="380">
        <f t="shared" si="62"/>
        <v>0</v>
      </c>
      <c r="E442" s="224"/>
      <c r="F442" s="396"/>
    </row>
    <row r="443" s="181" customFormat="true" hidden="true" spans="1:6">
      <c r="A443" s="382">
        <v>2069902</v>
      </c>
      <c r="B443" s="383" t="s">
        <v>600</v>
      </c>
      <c r="C443" s="198"/>
      <c r="D443" s="380">
        <f t="shared" si="62"/>
        <v>0</v>
      </c>
      <c r="E443" s="224"/>
      <c r="F443" s="396"/>
    </row>
    <row r="444" s="181" customFormat="true" hidden="true" spans="1:6">
      <c r="A444" s="382">
        <v>2069903</v>
      </c>
      <c r="B444" s="383" t="s">
        <v>601</v>
      </c>
      <c r="C444" s="198"/>
      <c r="D444" s="380">
        <f t="shared" si="62"/>
        <v>0</v>
      </c>
      <c r="E444" s="224"/>
      <c r="F444" s="396"/>
    </row>
    <row r="445" s="181" customFormat="true" spans="1:8">
      <c r="A445" s="382">
        <v>2069999</v>
      </c>
      <c r="B445" s="383" t="s">
        <v>602</v>
      </c>
      <c r="C445" s="198"/>
      <c r="D445" s="380">
        <f t="shared" si="62"/>
        <v>20</v>
      </c>
      <c r="E445" s="224">
        <v>0</v>
      </c>
      <c r="F445" s="396"/>
      <c r="H445" s="181">
        <v>20</v>
      </c>
    </row>
    <row r="446" s="362" customFormat="true" spans="1:9">
      <c r="A446" s="373">
        <v>207</v>
      </c>
      <c r="B446" s="374" t="s">
        <v>603</v>
      </c>
      <c r="C446" s="375">
        <f t="shared" ref="C446:H446" si="72">SUM(C447,C463,C471,C482,C491,C499)</f>
        <v>6476</v>
      </c>
      <c r="D446" s="376">
        <f t="shared" si="62"/>
        <v>9244</v>
      </c>
      <c r="E446" s="224">
        <f>(D446/C446-1)</f>
        <v>0.427424336009883</v>
      </c>
      <c r="F446" s="415">
        <f t="shared" si="72"/>
        <v>4185</v>
      </c>
      <c r="G446" s="362">
        <f t="shared" si="72"/>
        <v>2803</v>
      </c>
      <c r="H446" s="362">
        <f t="shared" si="72"/>
        <v>2256</v>
      </c>
      <c r="I446" s="360" t="s">
        <v>604</v>
      </c>
    </row>
    <row r="447" s="360" customFormat="true" spans="1:8">
      <c r="A447" s="377">
        <v>20701</v>
      </c>
      <c r="B447" s="386" t="s">
        <v>605</v>
      </c>
      <c r="C447" s="379">
        <f t="shared" ref="C447:H447" si="73">SUM(C448:C462)</f>
        <v>3062</v>
      </c>
      <c r="D447" s="380">
        <f t="shared" si="62"/>
        <v>6310</v>
      </c>
      <c r="E447" s="224">
        <f>(D447/C447-1)</f>
        <v>1.06074461136512</v>
      </c>
      <c r="F447" s="397">
        <f t="shared" si="73"/>
        <v>1908</v>
      </c>
      <c r="G447" s="402">
        <f t="shared" si="73"/>
        <v>2443</v>
      </c>
      <c r="H447" s="402">
        <f t="shared" si="73"/>
        <v>1959</v>
      </c>
    </row>
    <row r="448" s="360" customFormat="true" spans="1:6">
      <c r="A448" s="377">
        <v>2070101</v>
      </c>
      <c r="B448" s="386" t="s">
        <v>306</v>
      </c>
      <c r="C448" s="381">
        <v>597</v>
      </c>
      <c r="D448" s="380">
        <f t="shared" si="62"/>
        <v>629</v>
      </c>
      <c r="E448" s="224">
        <f>(D448/C448-1)</f>
        <v>0.0536013400335009</v>
      </c>
      <c r="F448" s="380">
        <v>629</v>
      </c>
    </row>
    <row r="449" s="360" customFormat="true" spans="1:8">
      <c r="A449" s="377">
        <v>2070102</v>
      </c>
      <c r="B449" s="386" t="s">
        <v>307</v>
      </c>
      <c r="C449" s="381">
        <v>20</v>
      </c>
      <c r="D449" s="380">
        <f t="shared" si="62"/>
        <v>294</v>
      </c>
      <c r="E449" s="224">
        <f>(D449/C449-1)</f>
        <v>13.7</v>
      </c>
      <c r="F449" s="380">
        <v>35</v>
      </c>
      <c r="H449" s="360">
        <v>259</v>
      </c>
    </row>
    <row r="450" s="181" customFormat="true" hidden="true" spans="1:6">
      <c r="A450" s="382">
        <v>2070103</v>
      </c>
      <c r="B450" s="385" t="s">
        <v>308</v>
      </c>
      <c r="C450" s="198">
        <v>0</v>
      </c>
      <c r="D450" s="380">
        <f t="shared" si="62"/>
        <v>0</v>
      </c>
      <c r="E450" s="395"/>
      <c r="F450" s="396"/>
    </row>
    <row r="451" s="360" customFormat="true" spans="1:8">
      <c r="A451" s="377">
        <v>2070104</v>
      </c>
      <c r="B451" s="386" t="s">
        <v>606</v>
      </c>
      <c r="C451" s="381">
        <v>201</v>
      </c>
      <c r="D451" s="380">
        <f t="shared" si="62"/>
        <v>155</v>
      </c>
      <c r="E451" s="224">
        <f>(D451/C451-1)</f>
        <v>-0.228855721393035</v>
      </c>
      <c r="F451" s="380">
        <v>146</v>
      </c>
      <c r="H451" s="360">
        <v>9</v>
      </c>
    </row>
    <row r="452" s="181" customFormat="true" hidden="true" spans="1:6">
      <c r="A452" s="382">
        <v>2070105</v>
      </c>
      <c r="B452" s="385" t="s">
        <v>607</v>
      </c>
      <c r="C452" s="198">
        <v>0</v>
      </c>
      <c r="D452" s="380">
        <f t="shared" si="62"/>
        <v>0</v>
      </c>
      <c r="E452" s="395"/>
      <c r="F452" s="396"/>
    </row>
    <row r="453" s="181" customFormat="true" hidden="true" spans="1:6">
      <c r="A453" s="382">
        <v>2070106</v>
      </c>
      <c r="B453" s="385" t="s">
        <v>608</v>
      </c>
      <c r="C453" s="198">
        <v>0</v>
      </c>
      <c r="D453" s="380">
        <f t="shared" si="62"/>
        <v>0</v>
      </c>
      <c r="E453" s="395"/>
      <c r="F453" s="396"/>
    </row>
    <row r="454" s="181" customFormat="true" hidden="true" spans="1:6">
      <c r="A454" s="382">
        <v>2070107</v>
      </c>
      <c r="B454" s="385" t="s">
        <v>609</v>
      </c>
      <c r="C454" s="198">
        <v>0</v>
      </c>
      <c r="D454" s="380">
        <f t="shared" si="62"/>
        <v>0</v>
      </c>
      <c r="E454" s="395"/>
      <c r="F454" s="396"/>
    </row>
    <row r="455" s="181" customFormat="true" spans="1:8">
      <c r="A455" s="382">
        <v>2070108</v>
      </c>
      <c r="B455" s="385" t="s">
        <v>610</v>
      </c>
      <c r="C455" s="198">
        <v>0</v>
      </c>
      <c r="D455" s="380">
        <f t="shared" si="62"/>
        <v>99</v>
      </c>
      <c r="E455" s="395"/>
      <c r="F455" s="396"/>
      <c r="H455" s="181">
        <v>99</v>
      </c>
    </row>
    <row r="456" s="360" customFormat="true" spans="1:8">
      <c r="A456" s="377">
        <v>2070109</v>
      </c>
      <c r="B456" s="386" t="s">
        <v>611</v>
      </c>
      <c r="C456" s="381">
        <v>820</v>
      </c>
      <c r="D456" s="380">
        <f t="shared" si="62"/>
        <v>946</v>
      </c>
      <c r="E456" s="224">
        <f>(D456/C456-1)</f>
        <v>0.153658536585366</v>
      </c>
      <c r="F456" s="380">
        <v>731</v>
      </c>
      <c r="H456" s="360">
        <v>215</v>
      </c>
    </row>
    <row r="457" s="181" customFormat="true" spans="1:8">
      <c r="A457" s="382">
        <v>2070110</v>
      </c>
      <c r="B457" s="385" t="s">
        <v>612</v>
      </c>
      <c r="C457" s="198">
        <v>0</v>
      </c>
      <c r="D457" s="380">
        <f t="shared" si="62"/>
        <v>3</v>
      </c>
      <c r="E457" s="395"/>
      <c r="F457" s="396"/>
      <c r="H457" s="181">
        <v>3</v>
      </c>
    </row>
    <row r="458" s="360" customFormat="true" spans="1:9">
      <c r="A458" s="377">
        <v>2070111</v>
      </c>
      <c r="B458" s="386" t="s">
        <v>613</v>
      </c>
      <c r="C458" s="381">
        <v>103</v>
      </c>
      <c r="D458" s="380">
        <f t="shared" ref="D458:D521" si="74">F458+G458+H458</f>
        <v>137</v>
      </c>
      <c r="E458" s="224">
        <f>(D458/C458-1)</f>
        <v>0.330097087378641</v>
      </c>
      <c r="F458" s="380"/>
      <c r="G458" s="360">
        <v>37</v>
      </c>
      <c r="H458" s="360">
        <v>100</v>
      </c>
      <c r="I458" s="360" t="s">
        <v>614</v>
      </c>
    </row>
    <row r="459" s="360" customFormat="true" spans="1:8">
      <c r="A459" s="377">
        <v>2070112</v>
      </c>
      <c r="B459" s="386" t="s">
        <v>615</v>
      </c>
      <c r="C459" s="381">
        <v>270</v>
      </c>
      <c r="D459" s="380">
        <f t="shared" si="74"/>
        <v>214</v>
      </c>
      <c r="E459" s="224">
        <f>(D459/C459-1)</f>
        <v>-0.207407407407407</v>
      </c>
      <c r="F459" s="380">
        <v>207</v>
      </c>
      <c r="H459" s="360">
        <v>7</v>
      </c>
    </row>
    <row r="460" s="360" customFormat="true" spans="1:8">
      <c r="A460" s="377">
        <v>2070113</v>
      </c>
      <c r="B460" s="386" t="s">
        <v>616</v>
      </c>
      <c r="C460" s="381">
        <v>70</v>
      </c>
      <c r="D460" s="380">
        <f t="shared" si="74"/>
        <v>97</v>
      </c>
      <c r="E460" s="224">
        <f>(D460/C460-1)</f>
        <v>0.385714285714286</v>
      </c>
      <c r="F460" s="380"/>
      <c r="H460" s="360">
        <v>97</v>
      </c>
    </row>
    <row r="461" s="181" customFormat="true" hidden="true" spans="1:6">
      <c r="A461" s="382">
        <v>2070114</v>
      </c>
      <c r="B461" s="385" t="s">
        <v>617</v>
      </c>
      <c r="C461" s="198">
        <v>0</v>
      </c>
      <c r="D461" s="380">
        <f t="shared" si="74"/>
        <v>0</v>
      </c>
      <c r="E461" s="395"/>
      <c r="F461" s="396"/>
    </row>
    <row r="462" s="360" customFormat="true" spans="1:10">
      <c r="A462" s="377">
        <v>2070199</v>
      </c>
      <c r="B462" s="386" t="s">
        <v>618</v>
      </c>
      <c r="C462" s="381">
        <f>788+193</f>
        <v>981</v>
      </c>
      <c r="D462" s="380">
        <f t="shared" si="74"/>
        <v>3736</v>
      </c>
      <c r="E462" s="224">
        <f>(D462/C462-1)</f>
        <v>2.80835881753313</v>
      </c>
      <c r="F462" s="380">
        <v>160</v>
      </c>
      <c r="G462" s="360">
        <f>82+1022+1302</f>
        <v>2406</v>
      </c>
      <c r="H462" s="360">
        <f>1034+136</f>
        <v>1170</v>
      </c>
      <c r="I462" s="360" t="s">
        <v>619</v>
      </c>
      <c r="J462" s="360" t="s">
        <v>620</v>
      </c>
    </row>
    <row r="463" s="360" customFormat="true" spans="1:8">
      <c r="A463" s="377">
        <v>20702</v>
      </c>
      <c r="B463" s="386" t="s">
        <v>621</v>
      </c>
      <c r="C463" s="379">
        <f t="shared" ref="C463:H463" si="75">SUM(C464:C470)</f>
        <v>76</v>
      </c>
      <c r="D463" s="380">
        <f t="shared" si="74"/>
        <v>228</v>
      </c>
      <c r="E463" s="224">
        <f>(D463/C463-1)</f>
        <v>2</v>
      </c>
      <c r="F463" s="397">
        <f t="shared" si="75"/>
        <v>0</v>
      </c>
      <c r="G463" s="402">
        <f t="shared" si="75"/>
        <v>210</v>
      </c>
      <c r="H463" s="402">
        <f t="shared" si="75"/>
        <v>18</v>
      </c>
    </row>
    <row r="464" s="181" customFormat="true" hidden="true" spans="1:6">
      <c r="A464" s="382">
        <v>2070201</v>
      </c>
      <c r="B464" s="385" t="s">
        <v>306</v>
      </c>
      <c r="C464" s="198"/>
      <c r="D464" s="380">
        <f t="shared" si="74"/>
        <v>0</v>
      </c>
      <c r="E464" s="395"/>
      <c r="F464" s="396"/>
    </row>
    <row r="465" s="181" customFormat="true" hidden="true" spans="1:6">
      <c r="A465" s="382">
        <v>2070202</v>
      </c>
      <c r="B465" s="385" t="s">
        <v>307</v>
      </c>
      <c r="C465" s="198"/>
      <c r="D465" s="380">
        <f t="shared" si="74"/>
        <v>0</v>
      </c>
      <c r="E465" s="395"/>
      <c r="F465" s="396"/>
    </row>
    <row r="466" s="181" customFormat="true" hidden="true" spans="1:6">
      <c r="A466" s="382">
        <v>2070203</v>
      </c>
      <c r="B466" s="385" t="s">
        <v>308</v>
      </c>
      <c r="C466" s="198"/>
      <c r="D466" s="380">
        <f t="shared" si="74"/>
        <v>0</v>
      </c>
      <c r="E466" s="395"/>
      <c r="F466" s="396"/>
    </row>
    <row r="467" s="181" customFormat="true" hidden="true" spans="1:6">
      <c r="A467" s="382">
        <v>2070204</v>
      </c>
      <c r="B467" s="385" t="s">
        <v>622</v>
      </c>
      <c r="C467" s="198"/>
      <c r="D467" s="380">
        <f t="shared" si="74"/>
        <v>0</v>
      </c>
      <c r="E467" s="395"/>
      <c r="F467" s="396"/>
    </row>
    <row r="468" s="360" customFormat="true" spans="1:9">
      <c r="A468" s="377">
        <v>2070205</v>
      </c>
      <c r="B468" s="386" t="s">
        <v>623</v>
      </c>
      <c r="C468" s="381">
        <v>76</v>
      </c>
      <c r="D468" s="380">
        <f t="shared" si="74"/>
        <v>228</v>
      </c>
      <c r="E468" s="224">
        <f>(D468/C468-1)</f>
        <v>2</v>
      </c>
      <c r="F468" s="380"/>
      <c r="G468" s="360">
        <v>210</v>
      </c>
      <c r="H468" s="360">
        <v>18</v>
      </c>
      <c r="I468" s="360" t="s">
        <v>614</v>
      </c>
    </row>
    <row r="469" s="181" customFormat="true" hidden="true" spans="1:6">
      <c r="A469" s="382">
        <v>2070206</v>
      </c>
      <c r="B469" s="385" t="s">
        <v>624</v>
      </c>
      <c r="C469" s="198"/>
      <c r="D469" s="380">
        <f t="shared" si="74"/>
        <v>0</v>
      </c>
      <c r="E469" s="395"/>
      <c r="F469" s="396"/>
    </row>
    <row r="470" s="181" customFormat="true" hidden="true" spans="1:6">
      <c r="A470" s="382">
        <v>2070299</v>
      </c>
      <c r="B470" s="385" t="s">
        <v>625</v>
      </c>
      <c r="C470" s="198"/>
      <c r="D470" s="380">
        <f t="shared" si="74"/>
        <v>0</v>
      </c>
      <c r="E470" s="395"/>
      <c r="F470" s="396"/>
    </row>
    <row r="471" s="360" customFormat="true" spans="1:8">
      <c r="A471" s="377">
        <v>20703</v>
      </c>
      <c r="B471" s="386" t="s">
        <v>626</v>
      </c>
      <c r="C471" s="379">
        <f t="shared" ref="C471:H471" si="76">SUM(C472:C481)</f>
        <v>197</v>
      </c>
      <c r="D471" s="380">
        <f t="shared" si="74"/>
        <v>169</v>
      </c>
      <c r="E471" s="224">
        <f>(D471/C471-1)</f>
        <v>-0.142131979695431</v>
      </c>
      <c r="F471" s="397">
        <f t="shared" si="76"/>
        <v>97</v>
      </c>
      <c r="G471" s="402">
        <f t="shared" si="76"/>
        <v>0</v>
      </c>
      <c r="H471" s="402">
        <f t="shared" si="76"/>
        <v>72</v>
      </c>
    </row>
    <row r="472" s="181" customFormat="true" hidden="true" spans="1:6">
      <c r="A472" s="382">
        <v>2070301</v>
      </c>
      <c r="B472" s="385" t="s">
        <v>306</v>
      </c>
      <c r="C472" s="198"/>
      <c r="D472" s="380">
        <f t="shared" si="74"/>
        <v>0</v>
      </c>
      <c r="E472" s="395"/>
      <c r="F472" s="396"/>
    </row>
    <row r="473" s="181" customFormat="true" hidden="true" spans="1:6">
      <c r="A473" s="382">
        <v>2070302</v>
      </c>
      <c r="B473" s="385" t="s">
        <v>307</v>
      </c>
      <c r="C473" s="198"/>
      <c r="D473" s="380">
        <f t="shared" si="74"/>
        <v>0</v>
      </c>
      <c r="E473" s="395"/>
      <c r="F473" s="396"/>
    </row>
    <row r="474" s="181" customFormat="true" hidden="true" spans="1:6">
      <c r="A474" s="382">
        <v>2070303</v>
      </c>
      <c r="B474" s="385" t="s">
        <v>308</v>
      </c>
      <c r="C474" s="198"/>
      <c r="D474" s="380">
        <f t="shared" si="74"/>
        <v>0</v>
      </c>
      <c r="E474" s="395"/>
      <c r="F474" s="396"/>
    </row>
    <row r="475" s="181" customFormat="true" hidden="true" spans="1:6">
      <c r="A475" s="382">
        <v>2070304</v>
      </c>
      <c r="B475" s="385" t="s">
        <v>627</v>
      </c>
      <c r="C475" s="198"/>
      <c r="D475" s="380">
        <f t="shared" si="74"/>
        <v>0</v>
      </c>
      <c r="E475" s="395"/>
      <c r="F475" s="396"/>
    </row>
    <row r="476" s="181" customFormat="true" spans="1:8">
      <c r="A476" s="382">
        <v>2070305</v>
      </c>
      <c r="B476" s="385" t="s">
        <v>628</v>
      </c>
      <c r="C476" s="198"/>
      <c r="D476" s="380">
        <f t="shared" si="74"/>
        <v>43</v>
      </c>
      <c r="E476" s="395"/>
      <c r="F476" s="396"/>
      <c r="H476" s="181">
        <v>43</v>
      </c>
    </row>
    <row r="477" s="181" customFormat="true" hidden="true" spans="1:6">
      <c r="A477" s="382">
        <v>2070306</v>
      </c>
      <c r="B477" s="385" t="s">
        <v>629</v>
      </c>
      <c r="C477" s="198"/>
      <c r="D477" s="380">
        <f t="shared" si="74"/>
        <v>0</v>
      </c>
      <c r="E477" s="395"/>
      <c r="F477" s="396"/>
    </row>
    <row r="478" s="360" customFormat="true" spans="1:8">
      <c r="A478" s="377">
        <v>2070307</v>
      </c>
      <c r="B478" s="386" t="s">
        <v>630</v>
      </c>
      <c r="C478" s="381">
        <v>63</v>
      </c>
      <c r="D478" s="380">
        <f t="shared" si="74"/>
        <v>28</v>
      </c>
      <c r="E478" s="224">
        <f>(D478/C478-1)</f>
        <v>-0.555555555555556</v>
      </c>
      <c r="F478" s="380"/>
      <c r="H478" s="360">
        <v>28</v>
      </c>
    </row>
    <row r="479" s="360" customFormat="true" hidden="true" spans="1:6">
      <c r="A479" s="377">
        <v>2070308</v>
      </c>
      <c r="B479" s="386" t="s">
        <v>631</v>
      </c>
      <c r="C479" s="381">
        <v>42</v>
      </c>
      <c r="D479" s="380">
        <f t="shared" si="74"/>
        <v>0</v>
      </c>
      <c r="E479" s="224">
        <f>(D479/C479-1)</f>
        <v>-1</v>
      </c>
      <c r="F479" s="380"/>
    </row>
    <row r="480" s="181" customFormat="true" hidden="true" spans="1:6">
      <c r="A480" s="382">
        <v>2070309</v>
      </c>
      <c r="B480" s="385" t="s">
        <v>632</v>
      </c>
      <c r="C480" s="198"/>
      <c r="D480" s="380">
        <f t="shared" si="74"/>
        <v>0</v>
      </c>
      <c r="E480" s="395"/>
      <c r="F480" s="396"/>
    </row>
    <row r="481" s="360" customFormat="true" spans="1:8">
      <c r="A481" s="377">
        <v>2070399</v>
      </c>
      <c r="B481" s="386" t="s">
        <v>633</v>
      </c>
      <c r="C481" s="381">
        <v>92</v>
      </c>
      <c r="D481" s="380">
        <f t="shared" si="74"/>
        <v>98</v>
      </c>
      <c r="E481" s="224">
        <f>(D481/C481-1)</f>
        <v>0.0652173913043479</v>
      </c>
      <c r="F481" s="380">
        <v>97</v>
      </c>
      <c r="H481" s="360">
        <v>1</v>
      </c>
    </row>
    <row r="482" s="360" customFormat="true" spans="1:8">
      <c r="A482" s="377">
        <v>20706</v>
      </c>
      <c r="B482" s="386" t="s">
        <v>634</v>
      </c>
      <c r="C482" s="379">
        <f t="shared" ref="C482:H482" si="77">SUM(C483:C490)</f>
        <v>221</v>
      </c>
      <c r="D482" s="380">
        <f t="shared" si="74"/>
        <v>196</v>
      </c>
      <c r="E482" s="224">
        <f>(D482/C482-1)</f>
        <v>-0.113122171945701</v>
      </c>
      <c r="F482" s="397">
        <f t="shared" si="77"/>
        <v>190</v>
      </c>
      <c r="G482" s="402">
        <f t="shared" si="77"/>
        <v>0</v>
      </c>
      <c r="H482" s="402">
        <f t="shared" si="77"/>
        <v>6</v>
      </c>
    </row>
    <row r="483" s="181" customFormat="true" hidden="true" spans="1:6">
      <c r="A483" s="382">
        <v>2070601</v>
      </c>
      <c r="B483" s="385" t="s">
        <v>306</v>
      </c>
      <c r="C483" s="198"/>
      <c r="D483" s="380">
        <f t="shared" si="74"/>
        <v>0</v>
      </c>
      <c r="E483" s="395"/>
      <c r="F483" s="396"/>
    </row>
    <row r="484" s="181" customFormat="true" hidden="true" spans="1:6">
      <c r="A484" s="382">
        <v>2070602</v>
      </c>
      <c r="B484" s="385" t="s">
        <v>307</v>
      </c>
      <c r="C484" s="198"/>
      <c r="D484" s="380">
        <f t="shared" si="74"/>
        <v>0</v>
      </c>
      <c r="E484" s="395"/>
      <c r="F484" s="396"/>
    </row>
    <row r="485" s="181" customFormat="true" hidden="true" spans="1:6">
      <c r="A485" s="382">
        <v>2070603</v>
      </c>
      <c r="B485" s="385" t="s">
        <v>308</v>
      </c>
      <c r="C485" s="198"/>
      <c r="D485" s="380">
        <f t="shared" si="74"/>
        <v>0</v>
      </c>
      <c r="E485" s="395"/>
      <c r="F485" s="396"/>
    </row>
    <row r="486" s="181" customFormat="true" hidden="true" spans="1:6">
      <c r="A486" s="382">
        <v>2070604</v>
      </c>
      <c r="B486" s="385" t="s">
        <v>635</v>
      </c>
      <c r="C486" s="198"/>
      <c r="D486" s="380">
        <f t="shared" si="74"/>
        <v>0</v>
      </c>
      <c r="E486" s="395"/>
      <c r="F486" s="396"/>
    </row>
    <row r="487" s="360" customFormat="true" hidden="true" spans="1:6">
      <c r="A487" s="377">
        <v>2070605</v>
      </c>
      <c r="B487" s="386" t="s">
        <v>636</v>
      </c>
      <c r="C487" s="381">
        <v>5</v>
      </c>
      <c r="D487" s="380">
        <f t="shared" si="74"/>
        <v>0</v>
      </c>
      <c r="E487" s="224">
        <f>(D487/C487-1)</f>
        <v>-1</v>
      </c>
      <c r="F487" s="380"/>
    </row>
    <row r="488" s="181" customFormat="true" spans="1:8">
      <c r="A488" s="382">
        <v>2070606</v>
      </c>
      <c r="B488" s="385" t="s">
        <v>637</v>
      </c>
      <c r="C488" s="198"/>
      <c r="D488" s="380">
        <f t="shared" si="74"/>
        <v>1</v>
      </c>
      <c r="E488" s="395"/>
      <c r="F488" s="396"/>
      <c r="H488" s="181">
        <v>1</v>
      </c>
    </row>
    <row r="489" s="181" customFormat="true" hidden="true" spans="1:6">
      <c r="A489" s="382">
        <v>2070607</v>
      </c>
      <c r="B489" s="385" t="s">
        <v>638</v>
      </c>
      <c r="C489" s="198"/>
      <c r="D489" s="380">
        <f t="shared" si="74"/>
        <v>0</v>
      </c>
      <c r="E489" s="395"/>
      <c r="F489" s="396"/>
    </row>
    <row r="490" s="360" customFormat="true" spans="1:8">
      <c r="A490" s="377">
        <v>2070699</v>
      </c>
      <c r="B490" s="386" t="s">
        <v>639</v>
      </c>
      <c r="C490" s="381">
        <v>216</v>
      </c>
      <c r="D490" s="380">
        <f t="shared" si="74"/>
        <v>195</v>
      </c>
      <c r="E490" s="224">
        <f>(D490/C490-1)</f>
        <v>-0.0972222222222222</v>
      </c>
      <c r="F490" s="380">
        <v>190</v>
      </c>
      <c r="H490" s="360">
        <v>5</v>
      </c>
    </row>
    <row r="491" s="360" customFormat="true" spans="1:9">
      <c r="A491" s="377">
        <v>20708</v>
      </c>
      <c r="B491" s="386" t="s">
        <v>640</v>
      </c>
      <c r="C491" s="379">
        <f t="shared" ref="C491:H491" si="78">SUM(C492:C498)</f>
        <v>2815</v>
      </c>
      <c r="D491" s="380">
        <f t="shared" si="74"/>
        <v>2258</v>
      </c>
      <c r="E491" s="224">
        <f>(D491/C491-1)</f>
        <v>-0.197868561278863</v>
      </c>
      <c r="F491" s="397">
        <f t="shared" si="78"/>
        <v>1990</v>
      </c>
      <c r="G491" s="402">
        <f t="shared" si="78"/>
        <v>150</v>
      </c>
      <c r="H491" s="402">
        <f t="shared" si="78"/>
        <v>118</v>
      </c>
      <c r="I491" s="360" t="s">
        <v>641</v>
      </c>
    </row>
    <row r="492" s="181" customFormat="true" hidden="true" spans="1:6">
      <c r="A492" s="382">
        <v>2070801</v>
      </c>
      <c r="B492" s="385" t="s">
        <v>306</v>
      </c>
      <c r="C492" s="198">
        <v>0</v>
      </c>
      <c r="D492" s="380">
        <f t="shared" si="74"/>
        <v>0</v>
      </c>
      <c r="E492" s="395"/>
      <c r="F492" s="396"/>
    </row>
    <row r="493" s="181" customFormat="true" hidden="true" spans="1:6">
      <c r="A493" s="382">
        <v>2070802</v>
      </c>
      <c r="B493" s="385" t="s">
        <v>307</v>
      </c>
      <c r="C493" s="198">
        <v>0</v>
      </c>
      <c r="D493" s="380">
        <f t="shared" si="74"/>
        <v>0</v>
      </c>
      <c r="E493" s="395"/>
      <c r="F493" s="396"/>
    </row>
    <row r="494" s="181" customFormat="true" hidden="true" spans="1:6">
      <c r="A494" s="382">
        <v>2070803</v>
      </c>
      <c r="B494" s="385" t="s">
        <v>308</v>
      </c>
      <c r="C494" s="198">
        <v>0</v>
      </c>
      <c r="D494" s="380">
        <f t="shared" si="74"/>
        <v>0</v>
      </c>
      <c r="E494" s="395"/>
      <c r="F494" s="396"/>
    </row>
    <row r="495" s="181" customFormat="true" hidden="true" spans="1:6">
      <c r="A495" s="382">
        <v>2070806</v>
      </c>
      <c r="B495" s="385" t="s">
        <v>642</v>
      </c>
      <c r="C495" s="198">
        <v>0</v>
      </c>
      <c r="D495" s="380">
        <f t="shared" si="74"/>
        <v>0</v>
      </c>
      <c r="E495" s="395"/>
      <c r="F495" s="396"/>
    </row>
    <row r="496" s="360" customFormat="true" spans="1:8">
      <c r="A496" s="377">
        <v>2070807</v>
      </c>
      <c r="B496" s="386" t="s">
        <v>643</v>
      </c>
      <c r="C496" s="381">
        <f>49+28</f>
        <v>77</v>
      </c>
      <c r="D496" s="380">
        <f t="shared" si="74"/>
        <v>239</v>
      </c>
      <c r="E496" s="224">
        <f>(D496/C496-1)</f>
        <v>2.1038961038961</v>
      </c>
      <c r="F496" s="380"/>
      <c r="G496" s="360">
        <v>150</v>
      </c>
      <c r="H496" s="360">
        <v>89</v>
      </c>
    </row>
    <row r="497" s="360" customFormat="true" hidden="true" spans="1:6">
      <c r="A497" s="377">
        <v>2070808</v>
      </c>
      <c r="B497" s="386" t="s">
        <v>644</v>
      </c>
      <c r="C497" s="381">
        <v>82</v>
      </c>
      <c r="D497" s="380">
        <f t="shared" si="74"/>
        <v>0</v>
      </c>
      <c r="E497" s="224">
        <f>(D497/C497-1)</f>
        <v>-1</v>
      </c>
      <c r="F497" s="380"/>
    </row>
    <row r="498" s="360" customFormat="true" spans="1:8">
      <c r="A498" s="377">
        <v>2070899</v>
      </c>
      <c r="B498" s="386" t="s">
        <v>645</v>
      </c>
      <c r="C498" s="381">
        <v>2656</v>
      </c>
      <c r="D498" s="380">
        <f t="shared" si="74"/>
        <v>2019</v>
      </c>
      <c r="E498" s="224">
        <f>(D498/C498-1)</f>
        <v>-0.239834337349398</v>
      </c>
      <c r="F498" s="380">
        <v>1990</v>
      </c>
      <c r="H498" s="360">
        <v>29</v>
      </c>
    </row>
    <row r="499" s="360" customFormat="true" spans="1:8">
      <c r="A499" s="377">
        <v>20799</v>
      </c>
      <c r="B499" s="386" t="s">
        <v>646</v>
      </c>
      <c r="C499" s="379">
        <f t="shared" ref="C499:H499" si="79">SUM(C500:C502)</f>
        <v>105</v>
      </c>
      <c r="D499" s="380">
        <f t="shared" si="74"/>
        <v>83</v>
      </c>
      <c r="E499" s="224">
        <f>(D499/C499-1)</f>
        <v>-0.20952380952381</v>
      </c>
      <c r="F499" s="397">
        <f t="shared" si="79"/>
        <v>0</v>
      </c>
      <c r="G499" s="402">
        <f t="shared" si="79"/>
        <v>0</v>
      </c>
      <c r="H499" s="402">
        <f t="shared" si="79"/>
        <v>83</v>
      </c>
    </row>
    <row r="500" s="181" customFormat="true" spans="1:8">
      <c r="A500" s="382">
        <v>2079902</v>
      </c>
      <c r="B500" s="385" t="s">
        <v>647</v>
      </c>
      <c r="C500" s="198">
        <v>0</v>
      </c>
      <c r="D500" s="380">
        <f t="shared" si="74"/>
        <v>15</v>
      </c>
      <c r="E500" s="395"/>
      <c r="F500" s="396"/>
      <c r="H500" s="181">
        <v>15</v>
      </c>
    </row>
    <row r="501" s="360" customFormat="true" hidden="true" spans="1:6">
      <c r="A501" s="377">
        <v>2079903</v>
      </c>
      <c r="B501" s="386" t="s">
        <v>648</v>
      </c>
      <c r="C501" s="381">
        <v>55</v>
      </c>
      <c r="D501" s="380">
        <f t="shared" si="74"/>
        <v>0</v>
      </c>
      <c r="E501" s="224">
        <f t="shared" ref="E501:E506" si="80">(D501/C501-1)</f>
        <v>-1</v>
      </c>
      <c r="F501" s="380"/>
    </row>
    <row r="502" s="360" customFormat="true" spans="1:8">
      <c r="A502" s="377">
        <v>2079999</v>
      </c>
      <c r="B502" s="386" t="s">
        <v>649</v>
      </c>
      <c r="C502" s="381">
        <v>50</v>
      </c>
      <c r="D502" s="380">
        <f t="shared" si="74"/>
        <v>68</v>
      </c>
      <c r="E502" s="224">
        <f t="shared" si="80"/>
        <v>0.36</v>
      </c>
      <c r="F502" s="380"/>
      <c r="H502" s="360">
        <v>68</v>
      </c>
    </row>
    <row r="503" s="362" customFormat="true" spans="1:8">
      <c r="A503" s="373">
        <v>208</v>
      </c>
      <c r="B503" s="374" t="s">
        <v>650</v>
      </c>
      <c r="C503" s="375">
        <f t="shared" ref="C503:H503" si="81">SUM(C504,C523,C531,C533,C542,C546,C556,C565,C572,C580,C589,C594,C597,C600,C603,C606,C609,C613,C617,C625,C628)</f>
        <v>49654</v>
      </c>
      <c r="D503" s="376">
        <f t="shared" si="74"/>
        <v>54977</v>
      </c>
      <c r="E503" s="224">
        <f t="shared" si="80"/>
        <v>0.107201836710033</v>
      </c>
      <c r="F503" s="415">
        <f t="shared" si="81"/>
        <v>43384</v>
      </c>
      <c r="G503" s="362">
        <f t="shared" si="81"/>
        <v>8968</v>
      </c>
      <c r="H503" s="362">
        <f t="shared" si="81"/>
        <v>2625</v>
      </c>
    </row>
    <row r="504" s="360" customFormat="true" spans="1:8">
      <c r="A504" s="377">
        <v>20801</v>
      </c>
      <c r="B504" s="386" t="s">
        <v>651</v>
      </c>
      <c r="C504" s="379">
        <f t="shared" ref="C504:H504" si="82">SUM(C505:C522)</f>
        <v>1809</v>
      </c>
      <c r="D504" s="380">
        <f t="shared" si="74"/>
        <v>2027</v>
      </c>
      <c r="E504" s="224">
        <f t="shared" si="80"/>
        <v>0.120508568269762</v>
      </c>
      <c r="F504" s="397">
        <f t="shared" si="82"/>
        <v>1669</v>
      </c>
      <c r="G504" s="402">
        <f t="shared" si="82"/>
        <v>0</v>
      </c>
      <c r="H504" s="402">
        <f t="shared" si="82"/>
        <v>358</v>
      </c>
    </row>
    <row r="505" s="360" customFormat="true" spans="1:8">
      <c r="A505" s="377">
        <v>2080101</v>
      </c>
      <c r="B505" s="386" t="s">
        <v>306</v>
      </c>
      <c r="C505" s="381">
        <v>629</v>
      </c>
      <c r="D505" s="380">
        <f t="shared" si="74"/>
        <v>628</v>
      </c>
      <c r="E505" s="224">
        <f t="shared" si="80"/>
        <v>-0.00158982511923689</v>
      </c>
      <c r="F505" s="380">
        <v>627</v>
      </c>
      <c r="H505" s="360">
        <v>1</v>
      </c>
    </row>
    <row r="506" s="360" customFormat="true" spans="1:6">
      <c r="A506" s="377">
        <v>2080102</v>
      </c>
      <c r="B506" s="386" t="s">
        <v>307</v>
      </c>
      <c r="C506" s="381">
        <f>104+71</f>
        <v>175</v>
      </c>
      <c r="D506" s="380">
        <f t="shared" si="74"/>
        <v>113</v>
      </c>
      <c r="E506" s="224">
        <f t="shared" si="80"/>
        <v>-0.354285714285714</v>
      </c>
      <c r="F506" s="380">
        <v>113</v>
      </c>
    </row>
    <row r="507" s="181" customFormat="true" hidden="true" spans="1:6">
      <c r="A507" s="382">
        <v>2080103</v>
      </c>
      <c r="B507" s="385" t="s">
        <v>308</v>
      </c>
      <c r="C507" s="198">
        <v>0</v>
      </c>
      <c r="D507" s="380">
        <f t="shared" si="74"/>
        <v>0</v>
      </c>
      <c r="E507" s="395"/>
      <c r="F507" s="396"/>
    </row>
    <row r="508" s="181" customFormat="true" hidden="true" spans="1:6">
      <c r="A508" s="382">
        <v>2080104</v>
      </c>
      <c r="B508" s="385" t="s">
        <v>652</v>
      </c>
      <c r="C508" s="198">
        <v>0</v>
      </c>
      <c r="D508" s="380">
        <f t="shared" si="74"/>
        <v>0</v>
      </c>
      <c r="E508" s="395"/>
      <c r="F508" s="396"/>
    </row>
    <row r="509" s="181" customFormat="true" hidden="true" spans="1:6">
      <c r="A509" s="382">
        <v>2080105</v>
      </c>
      <c r="B509" s="385" t="s">
        <v>653</v>
      </c>
      <c r="C509" s="198">
        <v>0</v>
      </c>
      <c r="D509" s="380">
        <f t="shared" si="74"/>
        <v>0</v>
      </c>
      <c r="E509" s="395"/>
      <c r="F509" s="396"/>
    </row>
    <row r="510" s="181" customFormat="true" hidden="true" spans="1:6">
      <c r="A510" s="382">
        <v>2080106</v>
      </c>
      <c r="B510" s="385" t="s">
        <v>654</v>
      </c>
      <c r="C510" s="198">
        <v>0</v>
      </c>
      <c r="D510" s="380">
        <f t="shared" si="74"/>
        <v>0</v>
      </c>
      <c r="E510" s="395" t="e">
        <f>(C510/#REF!-1)</f>
        <v>#REF!</v>
      </c>
      <c r="F510" s="396"/>
    </row>
    <row r="511" s="181" customFormat="true" hidden="true" spans="1:6">
      <c r="A511" s="382">
        <v>2080107</v>
      </c>
      <c r="B511" s="385" t="s">
        <v>655</v>
      </c>
      <c r="C511" s="198">
        <v>0</v>
      </c>
      <c r="D511" s="380">
        <f t="shared" si="74"/>
        <v>0</v>
      </c>
      <c r="E511" s="395"/>
      <c r="F511" s="396"/>
    </row>
    <row r="512" s="181" customFormat="true" hidden="true" spans="1:6">
      <c r="A512" s="382">
        <v>2080108</v>
      </c>
      <c r="B512" s="385" t="s">
        <v>347</v>
      </c>
      <c r="C512" s="198">
        <v>0</v>
      </c>
      <c r="D512" s="380">
        <f t="shared" si="74"/>
        <v>0</v>
      </c>
      <c r="E512" s="395"/>
      <c r="F512" s="396"/>
    </row>
    <row r="513" s="360" customFormat="true" spans="1:8">
      <c r="A513" s="377">
        <v>2080109</v>
      </c>
      <c r="B513" s="386" t="s">
        <v>656</v>
      </c>
      <c r="C513" s="381">
        <v>977</v>
      </c>
      <c r="D513" s="380">
        <f t="shared" si="74"/>
        <v>934</v>
      </c>
      <c r="E513" s="224">
        <f>(D513/C513-1)</f>
        <v>-0.0440122824974412</v>
      </c>
      <c r="F513" s="380">
        <v>929</v>
      </c>
      <c r="H513" s="360">
        <v>5</v>
      </c>
    </row>
    <row r="514" s="181" customFormat="true" hidden="true" spans="1:6">
      <c r="A514" s="382">
        <v>2080110</v>
      </c>
      <c r="B514" s="385" t="s">
        <v>657</v>
      </c>
      <c r="C514" s="198">
        <v>0</v>
      </c>
      <c r="D514" s="380">
        <f t="shared" si="74"/>
        <v>0</v>
      </c>
      <c r="E514" s="395"/>
      <c r="F514" s="396"/>
    </row>
    <row r="515" s="181" customFormat="true" hidden="true" spans="1:6">
      <c r="A515" s="382">
        <v>2080111</v>
      </c>
      <c r="B515" s="385" t="s">
        <v>658</v>
      </c>
      <c r="C515" s="198">
        <v>0</v>
      </c>
      <c r="D515" s="380">
        <f t="shared" si="74"/>
        <v>0</v>
      </c>
      <c r="E515" s="395"/>
      <c r="F515" s="396"/>
    </row>
    <row r="516" s="181" customFormat="true" hidden="true" spans="1:6">
      <c r="A516" s="382">
        <v>2080112</v>
      </c>
      <c r="B516" s="385" t="s">
        <v>659</v>
      </c>
      <c r="C516" s="198">
        <v>0</v>
      </c>
      <c r="D516" s="380">
        <f t="shared" si="74"/>
        <v>0</v>
      </c>
      <c r="E516" s="395"/>
      <c r="F516" s="396"/>
    </row>
    <row r="517" s="181" customFormat="true" hidden="true" spans="1:6">
      <c r="A517" s="382">
        <v>2080113</v>
      </c>
      <c r="B517" s="385" t="s">
        <v>660</v>
      </c>
      <c r="C517" s="198">
        <v>0</v>
      </c>
      <c r="D517" s="380">
        <f t="shared" si="74"/>
        <v>0</v>
      </c>
      <c r="E517" s="395"/>
      <c r="F517" s="396"/>
    </row>
    <row r="518" s="181" customFormat="true" hidden="true" spans="1:6">
      <c r="A518" s="382">
        <v>2080114</v>
      </c>
      <c r="B518" s="385" t="s">
        <v>661</v>
      </c>
      <c r="C518" s="198">
        <v>0</v>
      </c>
      <c r="D518" s="380">
        <f t="shared" si="74"/>
        <v>0</v>
      </c>
      <c r="E518" s="395"/>
      <c r="F518" s="396"/>
    </row>
    <row r="519" s="181" customFormat="true" hidden="true" spans="1:6">
      <c r="A519" s="382">
        <v>2080115</v>
      </c>
      <c r="B519" s="385" t="s">
        <v>662</v>
      </c>
      <c r="C519" s="198">
        <v>0</v>
      </c>
      <c r="D519" s="380">
        <f t="shared" si="74"/>
        <v>0</v>
      </c>
      <c r="E519" s="395"/>
      <c r="F519" s="396"/>
    </row>
    <row r="520" s="360" customFormat="true" spans="1:8">
      <c r="A520" s="377">
        <v>2080116</v>
      </c>
      <c r="B520" s="386" t="s">
        <v>663</v>
      </c>
      <c r="C520" s="381">
        <v>24</v>
      </c>
      <c r="D520" s="380">
        <f t="shared" si="74"/>
        <v>342</v>
      </c>
      <c r="E520" s="224">
        <f>(D520/C520-1)</f>
        <v>13.25</v>
      </c>
      <c r="F520" s="380"/>
      <c r="H520" s="360">
        <v>342</v>
      </c>
    </row>
    <row r="521" s="181" customFormat="true" hidden="true" spans="1:6">
      <c r="A521" s="382">
        <v>2080150</v>
      </c>
      <c r="B521" s="385" t="s">
        <v>315</v>
      </c>
      <c r="C521" s="198">
        <v>0</v>
      </c>
      <c r="D521" s="380">
        <f t="shared" si="74"/>
        <v>0</v>
      </c>
      <c r="E521" s="395"/>
      <c r="F521" s="396"/>
    </row>
    <row r="522" s="360" customFormat="true" spans="1:8">
      <c r="A522" s="377">
        <v>2080199</v>
      </c>
      <c r="B522" s="386" t="s">
        <v>664</v>
      </c>
      <c r="C522" s="381">
        <v>4</v>
      </c>
      <c r="D522" s="380">
        <f t="shared" ref="D522:D585" si="83">F522+G522+H522</f>
        <v>10</v>
      </c>
      <c r="E522" s="224">
        <f>(D522/C522-1)</f>
        <v>1.5</v>
      </c>
      <c r="F522" s="380"/>
      <c r="H522" s="360">
        <v>10</v>
      </c>
    </row>
    <row r="523" s="360" customFormat="true" spans="1:8">
      <c r="A523" s="377">
        <v>20802</v>
      </c>
      <c r="B523" s="386" t="s">
        <v>665</v>
      </c>
      <c r="C523" s="379">
        <f t="shared" ref="C523:H523" si="84">SUM(C524:C530)</f>
        <v>669</v>
      </c>
      <c r="D523" s="380">
        <f t="shared" si="83"/>
        <v>289</v>
      </c>
      <c r="E523" s="224">
        <f>(D523/C523-1)</f>
        <v>-0.568011958146487</v>
      </c>
      <c r="F523" s="397">
        <f t="shared" si="84"/>
        <v>273</v>
      </c>
      <c r="G523" s="402">
        <f t="shared" si="84"/>
        <v>0</v>
      </c>
      <c r="H523" s="402">
        <f t="shared" si="84"/>
        <v>16</v>
      </c>
    </row>
    <row r="524" s="360" customFormat="true" spans="1:6">
      <c r="A524" s="377">
        <v>2080201</v>
      </c>
      <c r="B524" s="386" t="s">
        <v>306</v>
      </c>
      <c r="C524" s="381">
        <v>178</v>
      </c>
      <c r="D524" s="380">
        <f t="shared" si="83"/>
        <v>181</v>
      </c>
      <c r="E524" s="224">
        <f>(D524/C524-1)</f>
        <v>0.0168539325842696</v>
      </c>
      <c r="F524" s="380">
        <v>181</v>
      </c>
    </row>
    <row r="525" s="181" customFormat="true" hidden="true" spans="1:6">
      <c r="A525" s="382">
        <v>2080202</v>
      </c>
      <c r="B525" s="385" t="s">
        <v>307</v>
      </c>
      <c r="C525" s="198"/>
      <c r="D525" s="380">
        <f t="shared" si="83"/>
        <v>0</v>
      </c>
      <c r="E525" s="395"/>
      <c r="F525" s="396"/>
    </row>
    <row r="526" s="181" customFormat="true" hidden="true" spans="1:6">
      <c r="A526" s="382">
        <v>2080203</v>
      </c>
      <c r="B526" s="385" t="s">
        <v>308</v>
      </c>
      <c r="C526" s="198"/>
      <c r="D526" s="380">
        <f t="shared" si="83"/>
        <v>0</v>
      </c>
      <c r="E526" s="395"/>
      <c r="F526" s="396"/>
    </row>
    <row r="527" s="181" customFormat="true" hidden="true" spans="1:6">
      <c r="A527" s="382">
        <v>2080206</v>
      </c>
      <c r="B527" s="385" t="s">
        <v>666</v>
      </c>
      <c r="C527" s="198"/>
      <c r="D527" s="380">
        <f t="shared" si="83"/>
        <v>0</v>
      </c>
      <c r="E527" s="395"/>
      <c r="F527" s="396"/>
    </row>
    <row r="528" s="181" customFormat="true" hidden="true" spans="1:6">
      <c r="A528" s="382">
        <v>2080207</v>
      </c>
      <c r="B528" s="385" t="s">
        <v>667</v>
      </c>
      <c r="C528" s="198"/>
      <c r="D528" s="380">
        <f t="shared" si="83"/>
        <v>0</v>
      </c>
      <c r="E528" s="395"/>
      <c r="F528" s="396"/>
    </row>
    <row r="529" s="181" customFormat="true" hidden="true" spans="1:6">
      <c r="A529" s="382">
        <v>2080208</v>
      </c>
      <c r="B529" s="385" t="s">
        <v>668</v>
      </c>
      <c r="C529" s="198"/>
      <c r="D529" s="380">
        <f t="shared" si="83"/>
        <v>0</v>
      </c>
      <c r="E529" s="395"/>
      <c r="F529" s="396"/>
    </row>
    <row r="530" s="360" customFormat="true" spans="1:8">
      <c r="A530" s="377">
        <v>2080299</v>
      </c>
      <c r="B530" s="386" t="s">
        <v>669</v>
      </c>
      <c r="C530" s="381">
        <v>491</v>
      </c>
      <c r="D530" s="380">
        <f t="shared" si="83"/>
        <v>108</v>
      </c>
      <c r="E530" s="224">
        <f>(D530/C530-1)</f>
        <v>-0.780040733197556</v>
      </c>
      <c r="F530" s="380">
        <v>92</v>
      </c>
      <c r="H530" s="360">
        <v>16</v>
      </c>
    </row>
    <row r="531" s="181" customFormat="true" hidden="true" spans="1:8">
      <c r="A531" s="382">
        <v>20804</v>
      </c>
      <c r="B531" s="417" t="s">
        <v>670</v>
      </c>
      <c r="C531" s="400">
        <f t="shared" ref="C531:H531" si="85">SUM(C532)</f>
        <v>0</v>
      </c>
      <c r="D531" s="380">
        <f t="shared" si="83"/>
        <v>0</v>
      </c>
      <c r="E531" s="395"/>
      <c r="F531" s="403">
        <f t="shared" si="85"/>
        <v>0</v>
      </c>
      <c r="G531" s="404">
        <f t="shared" si="85"/>
        <v>0</v>
      </c>
      <c r="H531" s="404">
        <f t="shared" si="85"/>
        <v>0</v>
      </c>
    </row>
    <row r="532" s="181" customFormat="true" hidden="true" spans="1:6">
      <c r="A532" s="382">
        <v>2080402</v>
      </c>
      <c r="B532" s="385" t="s">
        <v>671</v>
      </c>
      <c r="C532" s="198"/>
      <c r="D532" s="380">
        <f t="shared" si="83"/>
        <v>0</v>
      </c>
      <c r="E532" s="395"/>
      <c r="F532" s="396"/>
    </row>
    <row r="533" s="360" customFormat="true" spans="1:8">
      <c r="A533" s="377">
        <v>20805</v>
      </c>
      <c r="B533" s="386" t="s">
        <v>672</v>
      </c>
      <c r="C533" s="379">
        <f t="shared" ref="C533:H533" si="86">SUM(C534:C541)</f>
        <v>32714</v>
      </c>
      <c r="D533" s="380">
        <f t="shared" si="83"/>
        <v>36305</v>
      </c>
      <c r="E533" s="224">
        <f>(D533/C533-1)</f>
        <v>0.109769517637709</v>
      </c>
      <c r="F533" s="397">
        <f t="shared" si="86"/>
        <v>30734</v>
      </c>
      <c r="G533" s="402">
        <f t="shared" si="86"/>
        <v>5571</v>
      </c>
      <c r="H533" s="402">
        <f t="shared" si="86"/>
        <v>0</v>
      </c>
    </row>
    <row r="534" s="360" customFormat="true" spans="1:6">
      <c r="A534" s="377">
        <v>2080501</v>
      </c>
      <c r="B534" s="386" t="s">
        <v>673</v>
      </c>
      <c r="C534" s="381">
        <v>353</v>
      </c>
      <c r="D534" s="380">
        <f t="shared" si="83"/>
        <v>331</v>
      </c>
      <c r="E534" s="224">
        <f>(D534/C534-1)</f>
        <v>-0.0623229461756374</v>
      </c>
      <c r="F534" s="380">
        <v>331</v>
      </c>
    </row>
    <row r="535" s="360" customFormat="true" spans="1:6">
      <c r="A535" s="377">
        <v>2080502</v>
      </c>
      <c r="B535" s="386" t="s">
        <v>674</v>
      </c>
      <c r="C535" s="381">
        <v>296</v>
      </c>
      <c r="D535" s="380">
        <f t="shared" si="83"/>
        <v>235</v>
      </c>
      <c r="E535" s="224">
        <f>(D535/C535-1)</f>
        <v>-0.206081081081081</v>
      </c>
      <c r="F535" s="380">
        <v>235</v>
      </c>
    </row>
    <row r="536" s="181" customFormat="true" hidden="true" spans="1:6">
      <c r="A536" s="382">
        <v>2080503</v>
      </c>
      <c r="B536" s="385" t="s">
        <v>675</v>
      </c>
      <c r="C536" s="198">
        <v>0</v>
      </c>
      <c r="D536" s="380">
        <f t="shared" si="83"/>
        <v>0</v>
      </c>
      <c r="E536" s="395"/>
      <c r="F536" s="396"/>
    </row>
    <row r="537" s="360" customFormat="true" spans="1:6">
      <c r="A537" s="377">
        <v>2080505</v>
      </c>
      <c r="B537" s="386" t="s">
        <v>676</v>
      </c>
      <c r="C537" s="381">
        <v>14700</v>
      </c>
      <c r="D537" s="380">
        <f t="shared" si="83"/>
        <v>9846</v>
      </c>
      <c r="E537" s="224">
        <f>(D537/C537-1)</f>
        <v>-0.330204081632653</v>
      </c>
      <c r="F537" s="380">
        <v>9846</v>
      </c>
    </row>
    <row r="538" s="360" customFormat="true" spans="1:6">
      <c r="A538" s="377">
        <v>2080506</v>
      </c>
      <c r="B538" s="386" t="s">
        <v>677</v>
      </c>
      <c r="C538" s="381">
        <v>10653</v>
      </c>
      <c r="D538" s="380">
        <f t="shared" si="83"/>
        <v>4817</v>
      </c>
      <c r="E538" s="224">
        <f>(D538/C538-1)</f>
        <v>-0.54782690321975</v>
      </c>
      <c r="F538" s="380">
        <v>4817</v>
      </c>
    </row>
    <row r="539" s="360" customFormat="true" spans="1:9">
      <c r="A539" s="377">
        <v>2080507</v>
      </c>
      <c r="B539" s="386" t="s">
        <v>678</v>
      </c>
      <c r="C539" s="381">
        <v>4010</v>
      </c>
      <c r="D539" s="380">
        <f t="shared" si="83"/>
        <v>5571</v>
      </c>
      <c r="E539" s="224">
        <f>(D539/C539-1)</f>
        <v>0.38927680798005</v>
      </c>
      <c r="F539" s="380"/>
      <c r="G539" s="360">
        <v>5571</v>
      </c>
      <c r="I539" s="360" t="s">
        <v>679</v>
      </c>
    </row>
    <row r="540" s="181" customFormat="true" hidden="true" spans="1:6">
      <c r="A540" s="382">
        <v>2080508</v>
      </c>
      <c r="B540" s="385" t="s">
        <v>680</v>
      </c>
      <c r="C540" s="198">
        <v>0</v>
      </c>
      <c r="D540" s="380">
        <f t="shared" si="83"/>
        <v>0</v>
      </c>
      <c r="E540" s="395"/>
      <c r="F540" s="396"/>
    </row>
    <row r="541" s="360" customFormat="true" spans="1:6">
      <c r="A541" s="377">
        <v>2080599</v>
      </c>
      <c r="B541" s="386" t="s">
        <v>681</v>
      </c>
      <c r="C541" s="381">
        <v>2702</v>
      </c>
      <c r="D541" s="380">
        <f t="shared" si="83"/>
        <v>15505</v>
      </c>
      <c r="E541" s="224">
        <f>(D541/C541-1)</f>
        <v>4.73834196891192</v>
      </c>
      <c r="F541" s="380">
        <v>15505</v>
      </c>
    </row>
    <row r="542" s="181" customFormat="true" hidden="true" spans="1:8">
      <c r="A542" s="382">
        <v>20806</v>
      </c>
      <c r="B542" s="417" t="s">
        <v>682</v>
      </c>
      <c r="C542" s="400">
        <f t="shared" ref="C542:H542" si="87">SUM(C543:C545)</f>
        <v>0</v>
      </c>
      <c r="D542" s="380">
        <f t="shared" si="83"/>
        <v>0</v>
      </c>
      <c r="E542" s="395"/>
      <c r="F542" s="403">
        <f t="shared" si="87"/>
        <v>0</v>
      </c>
      <c r="G542" s="404">
        <f t="shared" si="87"/>
        <v>0</v>
      </c>
      <c r="H542" s="404">
        <f t="shared" si="87"/>
        <v>0</v>
      </c>
    </row>
    <row r="543" s="181" customFormat="true" hidden="true" spans="1:6">
      <c r="A543" s="382">
        <v>2080601</v>
      </c>
      <c r="B543" s="385" t="s">
        <v>683</v>
      </c>
      <c r="C543" s="198"/>
      <c r="D543" s="380">
        <f t="shared" si="83"/>
        <v>0</v>
      </c>
      <c r="E543" s="395"/>
      <c r="F543" s="396"/>
    </row>
    <row r="544" s="181" customFormat="true" hidden="true" spans="1:6">
      <c r="A544" s="382">
        <v>2080602</v>
      </c>
      <c r="B544" s="385" t="s">
        <v>684</v>
      </c>
      <c r="C544" s="198"/>
      <c r="D544" s="380">
        <f t="shared" si="83"/>
        <v>0</v>
      </c>
      <c r="E544" s="395"/>
      <c r="F544" s="396"/>
    </row>
    <row r="545" s="181" customFormat="true" hidden="true" spans="1:6">
      <c r="A545" s="382">
        <v>2080699</v>
      </c>
      <c r="B545" s="385" t="s">
        <v>685</v>
      </c>
      <c r="C545" s="198"/>
      <c r="D545" s="380">
        <f t="shared" si="83"/>
        <v>0</v>
      </c>
      <c r="E545" s="395"/>
      <c r="F545" s="396"/>
    </row>
    <row r="546" s="360" customFormat="true" spans="1:8">
      <c r="A546" s="377">
        <v>20807</v>
      </c>
      <c r="B546" s="386" t="s">
        <v>686</v>
      </c>
      <c r="C546" s="379">
        <f t="shared" ref="C546:H546" si="88">SUM(C547:C555)</f>
        <v>7301</v>
      </c>
      <c r="D546" s="380">
        <f t="shared" si="83"/>
        <v>5974</v>
      </c>
      <c r="E546" s="224">
        <f>(D546/C546-1)</f>
        <v>-0.181755923846048</v>
      </c>
      <c r="F546" s="397">
        <f t="shared" si="88"/>
        <v>3339</v>
      </c>
      <c r="G546" s="402">
        <f t="shared" si="88"/>
        <v>2332</v>
      </c>
      <c r="H546" s="402">
        <f t="shared" si="88"/>
        <v>303</v>
      </c>
    </row>
    <row r="547" s="360" customFormat="true" hidden="true" spans="1:6">
      <c r="A547" s="377">
        <v>2080701</v>
      </c>
      <c r="B547" s="386" t="s">
        <v>687</v>
      </c>
      <c r="C547" s="381">
        <v>57</v>
      </c>
      <c r="D547" s="380">
        <f t="shared" si="83"/>
        <v>0</v>
      </c>
      <c r="E547" s="224">
        <f>(D547/C547-1)</f>
        <v>-1</v>
      </c>
      <c r="F547" s="380"/>
    </row>
    <row r="548" s="181" customFormat="true" spans="1:8">
      <c r="A548" s="382">
        <v>2080702</v>
      </c>
      <c r="B548" s="385" t="s">
        <v>688</v>
      </c>
      <c r="C548" s="198">
        <v>0</v>
      </c>
      <c r="D548" s="380">
        <f t="shared" si="83"/>
        <v>18</v>
      </c>
      <c r="E548" s="395"/>
      <c r="F548" s="396"/>
      <c r="H548" s="181">
        <v>18</v>
      </c>
    </row>
    <row r="549" s="181" customFormat="true" hidden="true" spans="1:6">
      <c r="A549" s="382">
        <v>2080704</v>
      </c>
      <c r="B549" s="385" t="s">
        <v>689</v>
      </c>
      <c r="C549" s="198">
        <v>0</v>
      </c>
      <c r="D549" s="380">
        <f t="shared" si="83"/>
        <v>0</v>
      </c>
      <c r="E549" s="395"/>
      <c r="F549" s="396"/>
    </row>
    <row r="550" s="360" customFormat="true" spans="1:8">
      <c r="A550" s="377">
        <v>2080705</v>
      </c>
      <c r="B550" s="386" t="s">
        <v>690</v>
      </c>
      <c r="C550" s="381">
        <v>315</v>
      </c>
      <c r="D550" s="380">
        <f t="shared" si="83"/>
        <v>192</v>
      </c>
      <c r="E550" s="224">
        <f>(D550/C550-1)</f>
        <v>-0.39047619047619</v>
      </c>
      <c r="F550" s="380"/>
      <c r="H550" s="360">
        <v>192</v>
      </c>
    </row>
    <row r="551" s="181" customFormat="true" hidden="true" spans="1:6">
      <c r="A551" s="382">
        <v>2080709</v>
      </c>
      <c r="B551" s="385" t="s">
        <v>691</v>
      </c>
      <c r="C551" s="198">
        <v>0</v>
      </c>
      <c r="D551" s="380">
        <f t="shared" si="83"/>
        <v>0</v>
      </c>
      <c r="E551" s="395"/>
      <c r="F551" s="396"/>
    </row>
    <row r="552" s="181" customFormat="true" spans="1:8">
      <c r="A552" s="382">
        <v>2080711</v>
      </c>
      <c r="B552" s="385" t="s">
        <v>692</v>
      </c>
      <c r="C552" s="198">
        <v>0</v>
      </c>
      <c r="D552" s="380">
        <f t="shared" si="83"/>
        <v>56</v>
      </c>
      <c r="E552" s="395"/>
      <c r="F552" s="396"/>
      <c r="H552" s="181">
        <v>56</v>
      </c>
    </row>
    <row r="553" s="181" customFormat="true" hidden="true" spans="1:6">
      <c r="A553" s="382">
        <v>2080712</v>
      </c>
      <c r="B553" s="385" t="s">
        <v>693</v>
      </c>
      <c r="C553" s="198">
        <v>0</v>
      </c>
      <c r="D553" s="380">
        <f t="shared" si="83"/>
        <v>0</v>
      </c>
      <c r="E553" s="395"/>
      <c r="F553" s="396"/>
    </row>
    <row r="554" s="181" customFormat="true" hidden="true" spans="1:6">
      <c r="A554" s="382">
        <v>2080713</v>
      </c>
      <c r="B554" s="385" t="s">
        <v>694</v>
      </c>
      <c r="C554" s="198">
        <v>0</v>
      </c>
      <c r="D554" s="380">
        <f t="shared" si="83"/>
        <v>0</v>
      </c>
      <c r="E554" s="395"/>
      <c r="F554" s="396"/>
    </row>
    <row r="555" s="360" customFormat="true" spans="1:9">
      <c r="A555" s="377">
        <v>2080799</v>
      </c>
      <c r="B555" s="386" t="s">
        <v>695</v>
      </c>
      <c r="C555" s="381">
        <f>3297+3632</f>
        <v>6929</v>
      </c>
      <c r="D555" s="380">
        <f t="shared" si="83"/>
        <v>5708</v>
      </c>
      <c r="E555" s="224">
        <f>(D555/C555-1)</f>
        <v>-0.176215904170876</v>
      </c>
      <c r="F555" s="380">
        <v>3339</v>
      </c>
      <c r="G555" s="360">
        <f>2162+170</f>
        <v>2332</v>
      </c>
      <c r="H555" s="360">
        <v>37</v>
      </c>
      <c r="I555" s="360" t="s">
        <v>696</v>
      </c>
    </row>
    <row r="556" s="181" customFormat="true" hidden="true" spans="1:8">
      <c r="A556" s="382">
        <v>20808</v>
      </c>
      <c r="B556" s="417" t="s">
        <v>697</v>
      </c>
      <c r="C556" s="400">
        <f t="shared" ref="C556:H556" si="89">SUM(C557:C564)</f>
        <v>0</v>
      </c>
      <c r="D556" s="380">
        <f t="shared" si="83"/>
        <v>0</v>
      </c>
      <c r="E556" s="395"/>
      <c r="F556" s="403">
        <f t="shared" si="89"/>
        <v>0</v>
      </c>
      <c r="G556" s="404">
        <f t="shared" si="89"/>
        <v>0</v>
      </c>
      <c r="H556" s="404">
        <f t="shared" si="89"/>
        <v>0</v>
      </c>
    </row>
    <row r="557" s="181" customFormat="true" hidden="true" spans="1:6">
      <c r="A557" s="382">
        <v>2080801</v>
      </c>
      <c r="B557" s="385" t="s">
        <v>698</v>
      </c>
      <c r="C557" s="198"/>
      <c r="D557" s="380">
        <f t="shared" si="83"/>
        <v>0</v>
      </c>
      <c r="E557" s="395"/>
      <c r="F557" s="396"/>
    </row>
    <row r="558" s="181" customFormat="true" hidden="true" spans="1:6">
      <c r="A558" s="382">
        <v>2080802</v>
      </c>
      <c r="B558" s="385" t="s">
        <v>699</v>
      </c>
      <c r="C558" s="198"/>
      <c r="D558" s="380">
        <f t="shared" si="83"/>
        <v>0</v>
      </c>
      <c r="E558" s="395"/>
      <c r="F558" s="396"/>
    </row>
    <row r="559" s="181" customFormat="true" hidden="true" spans="1:6">
      <c r="A559" s="382">
        <v>2080803</v>
      </c>
      <c r="B559" s="385" t="s">
        <v>700</v>
      </c>
      <c r="C559" s="198"/>
      <c r="D559" s="380">
        <f t="shared" si="83"/>
        <v>0</v>
      </c>
      <c r="E559" s="395"/>
      <c r="F559" s="396"/>
    </row>
    <row r="560" s="181" customFormat="true" hidden="true" spans="1:6">
      <c r="A560" s="382">
        <v>2080805</v>
      </c>
      <c r="B560" s="385" t="s">
        <v>701</v>
      </c>
      <c r="C560" s="198"/>
      <c r="D560" s="380">
        <f t="shared" si="83"/>
        <v>0</v>
      </c>
      <c r="E560" s="395"/>
      <c r="F560" s="396"/>
    </row>
    <row r="561" s="181" customFormat="true" hidden="true" spans="1:6">
      <c r="A561" s="382">
        <v>2080806</v>
      </c>
      <c r="B561" s="385" t="s">
        <v>702</v>
      </c>
      <c r="C561" s="198"/>
      <c r="D561" s="380">
        <f t="shared" si="83"/>
        <v>0</v>
      </c>
      <c r="E561" s="395"/>
      <c r="F561" s="396"/>
    </row>
    <row r="562" s="181" customFormat="true" hidden="true" spans="1:6">
      <c r="A562" s="382">
        <v>2080807</v>
      </c>
      <c r="B562" s="385" t="s">
        <v>703</v>
      </c>
      <c r="C562" s="198"/>
      <c r="D562" s="380">
        <f t="shared" si="83"/>
        <v>0</v>
      </c>
      <c r="E562" s="395"/>
      <c r="F562" s="396"/>
    </row>
    <row r="563" s="181" customFormat="true" hidden="true" spans="1:6">
      <c r="A563" s="382">
        <v>2080808</v>
      </c>
      <c r="B563" s="385" t="s">
        <v>704</v>
      </c>
      <c r="C563" s="198"/>
      <c r="D563" s="380">
        <f t="shared" si="83"/>
        <v>0</v>
      </c>
      <c r="E563" s="395"/>
      <c r="F563" s="396"/>
    </row>
    <row r="564" s="181" customFormat="true" hidden="true" spans="1:6">
      <c r="A564" s="382">
        <v>2080899</v>
      </c>
      <c r="B564" s="385" t="s">
        <v>705</v>
      </c>
      <c r="C564" s="198"/>
      <c r="D564" s="380">
        <f t="shared" si="83"/>
        <v>0</v>
      </c>
      <c r="E564" s="395"/>
      <c r="F564" s="396"/>
    </row>
    <row r="565" s="360" customFormat="true" spans="1:8">
      <c r="A565" s="377">
        <v>20809</v>
      </c>
      <c r="B565" s="386" t="s">
        <v>706</v>
      </c>
      <c r="C565" s="379">
        <f t="shared" ref="C565:H565" si="90">SUM(C566:C571)</f>
        <v>212</v>
      </c>
      <c r="D565" s="380">
        <f t="shared" si="83"/>
        <v>975</v>
      </c>
      <c r="E565" s="224">
        <f>(D565/C565-1)</f>
        <v>3.59905660377358</v>
      </c>
      <c r="F565" s="397">
        <f t="shared" si="90"/>
        <v>119</v>
      </c>
      <c r="G565" s="402">
        <f t="shared" si="90"/>
        <v>813</v>
      </c>
      <c r="H565" s="402">
        <f t="shared" si="90"/>
        <v>43</v>
      </c>
    </row>
    <row r="566" s="181" customFormat="true" hidden="true" spans="1:6">
      <c r="A566" s="382">
        <v>2080901</v>
      </c>
      <c r="B566" s="385" t="s">
        <v>707</v>
      </c>
      <c r="C566" s="198">
        <v>0</v>
      </c>
      <c r="D566" s="380">
        <f t="shared" si="83"/>
        <v>0</v>
      </c>
      <c r="E566" s="395"/>
      <c r="F566" s="396"/>
    </row>
    <row r="567" s="360" customFormat="true" spans="1:9">
      <c r="A567" s="377">
        <v>2080902</v>
      </c>
      <c r="B567" s="386" t="s">
        <v>708</v>
      </c>
      <c r="C567" s="381">
        <v>67</v>
      </c>
      <c r="D567" s="380">
        <f t="shared" si="83"/>
        <v>792</v>
      </c>
      <c r="E567" s="224">
        <f>(D567/C567-1)</f>
        <v>10.8208955223881</v>
      </c>
      <c r="F567" s="380">
        <v>4</v>
      </c>
      <c r="G567" s="360">
        <v>757</v>
      </c>
      <c r="H567" s="360">
        <v>31</v>
      </c>
      <c r="I567" s="360" t="s">
        <v>709</v>
      </c>
    </row>
    <row r="568" s="360" customFormat="true" spans="1:9">
      <c r="A568" s="377">
        <v>2080903</v>
      </c>
      <c r="B568" s="386" t="s">
        <v>710</v>
      </c>
      <c r="C568" s="381">
        <v>142</v>
      </c>
      <c r="D568" s="380">
        <f t="shared" si="83"/>
        <v>156</v>
      </c>
      <c r="E568" s="224">
        <f>(D568/C568-1)</f>
        <v>0.0985915492957747</v>
      </c>
      <c r="F568" s="380">
        <v>115</v>
      </c>
      <c r="G568" s="360">
        <v>38</v>
      </c>
      <c r="H568" s="360">
        <v>3</v>
      </c>
      <c r="I568" s="360" t="s">
        <v>709</v>
      </c>
    </row>
    <row r="569" s="181" customFormat="true" hidden="true" spans="1:6">
      <c r="A569" s="382">
        <v>2080904</v>
      </c>
      <c r="B569" s="385" t="s">
        <v>711</v>
      </c>
      <c r="C569" s="198">
        <v>0</v>
      </c>
      <c r="D569" s="380">
        <f t="shared" si="83"/>
        <v>0</v>
      </c>
      <c r="E569" s="395"/>
      <c r="F569" s="396"/>
    </row>
    <row r="570" s="360" customFormat="true" spans="1:9">
      <c r="A570" s="377">
        <v>2080905</v>
      </c>
      <c r="B570" s="386" t="s">
        <v>712</v>
      </c>
      <c r="C570" s="381">
        <v>3</v>
      </c>
      <c r="D570" s="380">
        <f t="shared" si="83"/>
        <v>23</v>
      </c>
      <c r="E570" s="224">
        <f>(D570/C570-1)</f>
        <v>6.66666666666667</v>
      </c>
      <c r="F570" s="380"/>
      <c r="G570" s="360">
        <v>18</v>
      </c>
      <c r="H570" s="360">
        <v>5</v>
      </c>
      <c r="I570" s="360" t="s">
        <v>713</v>
      </c>
    </row>
    <row r="571" s="181" customFormat="true" spans="1:8">
      <c r="A571" s="382">
        <v>2080999</v>
      </c>
      <c r="B571" s="385" t="s">
        <v>714</v>
      </c>
      <c r="C571" s="198"/>
      <c r="D571" s="380">
        <f t="shared" si="83"/>
        <v>4</v>
      </c>
      <c r="E571" s="395"/>
      <c r="F571" s="396"/>
      <c r="H571" s="181">
        <v>4</v>
      </c>
    </row>
    <row r="572" s="360" customFormat="true" spans="1:8">
      <c r="A572" s="377">
        <v>20810</v>
      </c>
      <c r="B572" s="386" t="s">
        <v>715</v>
      </c>
      <c r="C572" s="379">
        <f t="shared" ref="C572:H572" si="91">SUM(C573:C579)</f>
        <v>496</v>
      </c>
      <c r="D572" s="380">
        <f t="shared" si="83"/>
        <v>519</v>
      </c>
      <c r="E572" s="224">
        <f>(D572/C572-1)</f>
        <v>0.0463709677419355</v>
      </c>
      <c r="F572" s="397">
        <f t="shared" si="91"/>
        <v>500</v>
      </c>
      <c r="G572" s="402">
        <f t="shared" si="91"/>
        <v>0</v>
      </c>
      <c r="H572" s="402">
        <f t="shared" si="91"/>
        <v>19</v>
      </c>
    </row>
    <row r="573" s="360" customFormat="true" spans="1:8">
      <c r="A573" s="377">
        <v>2081001</v>
      </c>
      <c r="B573" s="386" t="s">
        <v>716</v>
      </c>
      <c r="C573" s="381">
        <v>200</v>
      </c>
      <c r="D573" s="380">
        <f t="shared" si="83"/>
        <v>234</v>
      </c>
      <c r="E573" s="224">
        <f>(D573/C573-1)</f>
        <v>0.17</v>
      </c>
      <c r="F573" s="380">
        <v>222</v>
      </c>
      <c r="H573" s="360">
        <v>12</v>
      </c>
    </row>
    <row r="574" s="181" customFormat="true" hidden="true" spans="1:6">
      <c r="A574" s="382">
        <v>2081002</v>
      </c>
      <c r="B574" s="385" t="s">
        <v>717</v>
      </c>
      <c r="C574" s="198"/>
      <c r="D574" s="380">
        <f t="shared" si="83"/>
        <v>0</v>
      </c>
      <c r="E574" s="395"/>
      <c r="F574" s="396"/>
    </row>
    <row r="575" s="181" customFormat="true" hidden="true" spans="1:6">
      <c r="A575" s="382">
        <v>2081003</v>
      </c>
      <c r="B575" s="385" t="s">
        <v>718</v>
      </c>
      <c r="C575" s="198"/>
      <c r="D575" s="380">
        <f t="shared" si="83"/>
        <v>0</v>
      </c>
      <c r="E575" s="395"/>
      <c r="F575" s="396"/>
    </row>
    <row r="576" s="360" customFormat="true" spans="1:8">
      <c r="A576" s="377">
        <v>2081004</v>
      </c>
      <c r="B576" s="386" t="s">
        <v>719</v>
      </c>
      <c r="C576" s="381">
        <v>192</v>
      </c>
      <c r="D576" s="380">
        <f t="shared" si="83"/>
        <v>181</v>
      </c>
      <c r="E576" s="224">
        <f>(D576/C576-1)</f>
        <v>-0.0572916666666666</v>
      </c>
      <c r="F576" s="380">
        <v>175</v>
      </c>
      <c r="H576" s="360">
        <v>6</v>
      </c>
    </row>
    <row r="577" s="360" customFormat="true" spans="1:8">
      <c r="A577" s="377">
        <v>2081005</v>
      </c>
      <c r="B577" s="386" t="s">
        <v>720</v>
      </c>
      <c r="C577" s="381">
        <v>104</v>
      </c>
      <c r="D577" s="380">
        <f t="shared" si="83"/>
        <v>104</v>
      </c>
      <c r="E577" s="224">
        <f>(D577/C577-1)</f>
        <v>0</v>
      </c>
      <c r="F577" s="380">
        <v>103</v>
      </c>
      <c r="H577" s="360">
        <v>1</v>
      </c>
    </row>
    <row r="578" s="181" customFormat="true" hidden="true" spans="1:6">
      <c r="A578" s="382">
        <v>2081006</v>
      </c>
      <c r="B578" s="385" t="s">
        <v>721</v>
      </c>
      <c r="C578" s="198"/>
      <c r="D578" s="380">
        <f t="shared" si="83"/>
        <v>0</v>
      </c>
      <c r="E578" s="395"/>
      <c r="F578" s="396"/>
    </row>
    <row r="579" s="181" customFormat="true" hidden="true" spans="1:6">
      <c r="A579" s="382">
        <v>2081099</v>
      </c>
      <c r="B579" s="385" t="s">
        <v>722</v>
      </c>
      <c r="C579" s="198"/>
      <c r="D579" s="380">
        <f t="shared" si="83"/>
        <v>0</v>
      </c>
      <c r="E579" s="395"/>
      <c r="F579" s="396"/>
    </row>
    <row r="580" s="360" customFormat="true" spans="1:8">
      <c r="A580" s="377">
        <v>20811</v>
      </c>
      <c r="B580" s="386" t="s">
        <v>723</v>
      </c>
      <c r="C580" s="379">
        <f t="shared" ref="C580:H580" si="92">SUM(C581:C588)</f>
        <v>317</v>
      </c>
      <c r="D580" s="380">
        <f t="shared" si="83"/>
        <v>605</v>
      </c>
      <c r="E580" s="224">
        <f>(D580/C580-1)</f>
        <v>0.908517350157729</v>
      </c>
      <c r="F580" s="397">
        <f t="shared" si="92"/>
        <v>314</v>
      </c>
      <c r="G580" s="402">
        <f t="shared" si="92"/>
        <v>252</v>
      </c>
      <c r="H580" s="402">
        <f t="shared" si="92"/>
        <v>39</v>
      </c>
    </row>
    <row r="581" s="360" customFormat="true" spans="1:6">
      <c r="A581" s="377">
        <v>2081101</v>
      </c>
      <c r="B581" s="386" t="s">
        <v>306</v>
      </c>
      <c r="C581" s="381">
        <v>149</v>
      </c>
      <c r="D581" s="380">
        <f t="shared" si="83"/>
        <v>149</v>
      </c>
      <c r="E581" s="224">
        <f>(D581/C581-1)</f>
        <v>0</v>
      </c>
      <c r="F581" s="380">
        <v>149</v>
      </c>
    </row>
    <row r="582" s="181" customFormat="true" hidden="true" spans="1:6">
      <c r="A582" s="382">
        <v>2081102</v>
      </c>
      <c r="B582" s="385" t="s">
        <v>307</v>
      </c>
      <c r="C582" s="420">
        <v>0</v>
      </c>
      <c r="D582" s="380">
        <f t="shared" si="83"/>
        <v>0</v>
      </c>
      <c r="E582" s="395"/>
      <c r="F582" s="422"/>
    </row>
    <row r="583" s="181" customFormat="true" hidden="true" spans="1:6">
      <c r="A583" s="382">
        <v>2081103</v>
      </c>
      <c r="B583" s="385" t="s">
        <v>308</v>
      </c>
      <c r="C583" s="198">
        <v>0</v>
      </c>
      <c r="D583" s="380">
        <f t="shared" si="83"/>
        <v>0</v>
      </c>
      <c r="E583" s="395"/>
      <c r="F583" s="396"/>
    </row>
    <row r="584" s="360" customFormat="true" spans="1:8">
      <c r="A584" s="377">
        <v>2081104</v>
      </c>
      <c r="B584" s="386" t="s">
        <v>724</v>
      </c>
      <c r="C584" s="381">
        <v>20</v>
      </c>
      <c r="D584" s="380">
        <f t="shared" si="83"/>
        <v>123</v>
      </c>
      <c r="E584" s="224">
        <f>(D584/C584-1)</f>
        <v>5.15</v>
      </c>
      <c r="F584" s="380">
        <v>10</v>
      </c>
      <c r="G584" s="360">
        <v>87</v>
      </c>
      <c r="H584" s="360">
        <v>26</v>
      </c>
    </row>
    <row r="585" s="360" customFormat="true" spans="1:7">
      <c r="A585" s="377">
        <v>2081105</v>
      </c>
      <c r="B585" s="386" t="s">
        <v>725</v>
      </c>
      <c r="C585" s="381">
        <v>8</v>
      </c>
      <c r="D585" s="380">
        <f t="shared" si="83"/>
        <v>105</v>
      </c>
      <c r="E585" s="224">
        <f>(D585/C585-1)</f>
        <v>12.125</v>
      </c>
      <c r="F585" s="380">
        <v>15</v>
      </c>
      <c r="G585" s="360">
        <v>90</v>
      </c>
    </row>
    <row r="586" s="181" customFormat="true" spans="1:7">
      <c r="A586" s="382">
        <v>2081106</v>
      </c>
      <c r="B586" s="385" t="s">
        <v>726</v>
      </c>
      <c r="C586" s="198">
        <v>0</v>
      </c>
      <c r="D586" s="380">
        <f t="shared" ref="D586:D649" si="93">F586+G586+H586</f>
        <v>65</v>
      </c>
      <c r="E586" s="395"/>
      <c r="F586" s="396"/>
      <c r="G586" s="181">
        <v>65</v>
      </c>
    </row>
    <row r="587" s="181" customFormat="true" hidden="true" spans="1:6">
      <c r="A587" s="382">
        <v>2081107</v>
      </c>
      <c r="B587" s="385" t="s">
        <v>727</v>
      </c>
      <c r="C587" s="198">
        <v>0</v>
      </c>
      <c r="D587" s="380">
        <f t="shared" si="93"/>
        <v>0</v>
      </c>
      <c r="E587" s="395"/>
      <c r="F587" s="396"/>
    </row>
    <row r="588" s="360" customFormat="true" spans="1:8">
      <c r="A588" s="377">
        <v>2081199</v>
      </c>
      <c r="B588" s="386" t="s">
        <v>728</v>
      </c>
      <c r="C588" s="381">
        <v>140</v>
      </c>
      <c r="D588" s="380">
        <f t="shared" si="93"/>
        <v>163</v>
      </c>
      <c r="E588" s="224">
        <f>(D588/C588-1)</f>
        <v>0.164285714285714</v>
      </c>
      <c r="F588" s="380">
        <v>140</v>
      </c>
      <c r="G588" s="360">
        <v>10</v>
      </c>
      <c r="H588" s="360">
        <v>13</v>
      </c>
    </row>
    <row r="589" s="360" customFormat="true" spans="1:8">
      <c r="A589" s="377">
        <v>20816</v>
      </c>
      <c r="B589" s="386" t="s">
        <v>729</v>
      </c>
      <c r="C589" s="379">
        <f t="shared" ref="C589:H589" si="94">SUM(C590:C593)</f>
        <v>106</v>
      </c>
      <c r="D589" s="380">
        <f t="shared" si="93"/>
        <v>88</v>
      </c>
      <c r="E589" s="224">
        <f>(D589/C589-1)</f>
        <v>-0.169811320754717</v>
      </c>
      <c r="F589" s="397">
        <f t="shared" si="94"/>
        <v>88</v>
      </c>
      <c r="G589" s="402">
        <f t="shared" si="94"/>
        <v>0</v>
      </c>
      <c r="H589" s="402">
        <f t="shared" si="94"/>
        <v>0</v>
      </c>
    </row>
    <row r="590" s="360" customFormat="true" spans="1:6">
      <c r="A590" s="377">
        <v>2081601</v>
      </c>
      <c r="B590" s="386" t="s">
        <v>306</v>
      </c>
      <c r="C590" s="381">
        <v>74</v>
      </c>
      <c r="D590" s="380">
        <f t="shared" si="93"/>
        <v>82</v>
      </c>
      <c r="E590" s="224">
        <f>(D590/C590-1)</f>
        <v>0.108108108108108</v>
      </c>
      <c r="F590" s="380">
        <v>82</v>
      </c>
    </row>
    <row r="591" s="360" customFormat="true" spans="1:6">
      <c r="A591" s="377">
        <v>2081602</v>
      </c>
      <c r="B591" s="386" t="s">
        <v>307</v>
      </c>
      <c r="C591" s="381">
        <v>7</v>
      </c>
      <c r="D591" s="380">
        <f t="shared" si="93"/>
        <v>6</v>
      </c>
      <c r="E591" s="224">
        <f>(D591/C591-1)</f>
        <v>-0.142857142857143</v>
      </c>
      <c r="F591" s="380">
        <v>6</v>
      </c>
    </row>
    <row r="592" s="181" customFormat="true" hidden="true" spans="1:6">
      <c r="A592" s="382">
        <v>2081603</v>
      </c>
      <c r="B592" s="385" t="s">
        <v>308</v>
      </c>
      <c r="C592" s="198"/>
      <c r="D592" s="380">
        <f t="shared" si="93"/>
        <v>0</v>
      </c>
      <c r="E592" s="395"/>
      <c r="F592" s="396"/>
    </row>
    <row r="593" s="360" customFormat="true" hidden="true" spans="1:6">
      <c r="A593" s="377">
        <v>2081699</v>
      </c>
      <c r="B593" s="386" t="s">
        <v>730</v>
      </c>
      <c r="C593" s="381">
        <v>25</v>
      </c>
      <c r="D593" s="380">
        <f t="shared" si="93"/>
        <v>0</v>
      </c>
      <c r="E593" s="224">
        <f>(D593/C593-1)</f>
        <v>-1</v>
      </c>
      <c r="F593" s="380"/>
    </row>
    <row r="594" s="181" customFormat="true" hidden="true" spans="1:8">
      <c r="A594" s="382">
        <v>20819</v>
      </c>
      <c r="B594" s="417" t="s">
        <v>731</v>
      </c>
      <c r="C594" s="400">
        <f t="shared" ref="C594:H594" si="95">SUM(C595:C596)</f>
        <v>0</v>
      </c>
      <c r="D594" s="380">
        <f t="shared" si="93"/>
        <v>0</v>
      </c>
      <c r="E594" s="395" t="e">
        <f>(C594/#REF!-1)</f>
        <v>#REF!</v>
      </c>
      <c r="F594" s="403">
        <f t="shared" si="95"/>
        <v>0</v>
      </c>
      <c r="G594" s="404">
        <f t="shared" si="95"/>
        <v>0</v>
      </c>
      <c r="H594" s="404">
        <f t="shared" si="95"/>
        <v>0</v>
      </c>
    </row>
    <row r="595" s="181" customFormat="true" hidden="true" spans="1:6">
      <c r="A595" s="382">
        <v>2081901</v>
      </c>
      <c r="B595" s="385" t="s">
        <v>732</v>
      </c>
      <c r="C595" s="198"/>
      <c r="D595" s="380">
        <f t="shared" si="93"/>
        <v>0</v>
      </c>
      <c r="E595" s="395" t="e">
        <f>(C595/#REF!-1)</f>
        <v>#REF!</v>
      </c>
      <c r="F595" s="396"/>
    </row>
    <row r="596" s="181" customFormat="true" hidden="true" spans="1:6">
      <c r="A596" s="382">
        <v>2081902</v>
      </c>
      <c r="B596" s="385" t="s">
        <v>733</v>
      </c>
      <c r="C596" s="198"/>
      <c r="D596" s="380">
        <f t="shared" si="93"/>
        <v>0</v>
      </c>
      <c r="E596" s="395"/>
      <c r="F596" s="396"/>
    </row>
    <row r="597" s="360" customFormat="true" spans="1:8">
      <c r="A597" s="377">
        <v>20820</v>
      </c>
      <c r="B597" s="386" t="s">
        <v>734</v>
      </c>
      <c r="C597" s="379">
        <f t="shared" ref="C597:H597" si="96">SUM(C598:C599)</f>
        <v>271</v>
      </c>
      <c r="D597" s="380">
        <f t="shared" si="93"/>
        <v>275</v>
      </c>
      <c r="E597" s="224">
        <f>(D597/C597-1)</f>
        <v>0.014760147601476</v>
      </c>
      <c r="F597" s="397">
        <f t="shared" si="96"/>
        <v>232</v>
      </c>
      <c r="G597" s="402">
        <f t="shared" si="96"/>
        <v>0</v>
      </c>
      <c r="H597" s="402">
        <f t="shared" si="96"/>
        <v>43</v>
      </c>
    </row>
    <row r="598" s="360" customFormat="true" spans="1:8">
      <c r="A598" s="377">
        <v>2082001</v>
      </c>
      <c r="B598" s="386" t="s">
        <v>735</v>
      </c>
      <c r="C598" s="381">
        <v>26</v>
      </c>
      <c r="D598" s="380">
        <f t="shared" si="93"/>
        <v>26</v>
      </c>
      <c r="E598" s="224">
        <f>(D598/C598-1)</f>
        <v>0</v>
      </c>
      <c r="F598" s="380"/>
      <c r="H598" s="360">
        <v>26</v>
      </c>
    </row>
    <row r="599" s="360" customFormat="true" spans="1:8">
      <c r="A599" s="377">
        <v>2082002</v>
      </c>
      <c r="B599" s="386" t="s">
        <v>736</v>
      </c>
      <c r="C599" s="381">
        <v>245</v>
      </c>
      <c r="D599" s="380">
        <f t="shared" si="93"/>
        <v>249</v>
      </c>
      <c r="E599" s="224">
        <f>(D599/C599-1)</f>
        <v>0.0163265306122449</v>
      </c>
      <c r="F599" s="380">
        <v>232</v>
      </c>
      <c r="H599" s="360">
        <v>17</v>
      </c>
    </row>
    <row r="600" s="181" customFormat="true" hidden="true" spans="1:8">
      <c r="A600" s="382">
        <v>20821</v>
      </c>
      <c r="B600" s="417" t="s">
        <v>737</v>
      </c>
      <c r="C600" s="400">
        <f t="shared" ref="C600:H600" si="97">SUM(C601:C602)</f>
        <v>0</v>
      </c>
      <c r="D600" s="380">
        <f t="shared" si="93"/>
        <v>0</v>
      </c>
      <c r="E600" s="395"/>
      <c r="F600" s="403">
        <f t="shared" si="97"/>
        <v>0</v>
      </c>
      <c r="G600" s="404">
        <f t="shared" si="97"/>
        <v>0</v>
      </c>
      <c r="H600" s="404">
        <f t="shared" si="97"/>
        <v>0</v>
      </c>
    </row>
    <row r="601" s="181" customFormat="true" hidden="true" spans="1:6">
      <c r="A601" s="382">
        <v>2082101</v>
      </c>
      <c r="B601" s="385" t="s">
        <v>738</v>
      </c>
      <c r="C601" s="198"/>
      <c r="D601" s="380">
        <f t="shared" si="93"/>
        <v>0</v>
      </c>
      <c r="E601" s="395"/>
      <c r="F601" s="396"/>
    </row>
    <row r="602" s="181" customFormat="true" hidden="true" spans="1:6">
      <c r="A602" s="382">
        <v>2082102</v>
      </c>
      <c r="B602" s="385" t="s">
        <v>739</v>
      </c>
      <c r="C602" s="198"/>
      <c r="D602" s="380">
        <f t="shared" si="93"/>
        <v>0</v>
      </c>
      <c r="E602" s="395"/>
      <c r="F602" s="396"/>
    </row>
    <row r="603" s="181" customFormat="true" hidden="true" spans="1:8">
      <c r="A603" s="382">
        <v>20824</v>
      </c>
      <c r="B603" s="417" t="s">
        <v>740</v>
      </c>
      <c r="C603" s="400">
        <f t="shared" ref="C603:H603" si="98">SUM(C604:C605)</f>
        <v>0</v>
      </c>
      <c r="D603" s="380">
        <f t="shared" si="93"/>
        <v>0</v>
      </c>
      <c r="E603" s="395"/>
      <c r="F603" s="403">
        <f t="shared" si="98"/>
        <v>0</v>
      </c>
      <c r="G603" s="404">
        <f t="shared" si="98"/>
        <v>0</v>
      </c>
      <c r="H603" s="404">
        <f t="shared" si="98"/>
        <v>0</v>
      </c>
    </row>
    <row r="604" s="181" customFormat="true" hidden="true" spans="1:6">
      <c r="A604" s="382">
        <v>2082401</v>
      </c>
      <c r="B604" s="385" t="s">
        <v>741</v>
      </c>
      <c r="C604" s="198"/>
      <c r="D604" s="380">
        <f t="shared" si="93"/>
        <v>0</v>
      </c>
      <c r="E604" s="395"/>
      <c r="F604" s="396"/>
    </row>
    <row r="605" s="181" customFormat="true" hidden="true" spans="1:6">
      <c r="A605" s="382">
        <v>2082402</v>
      </c>
      <c r="B605" s="385" t="s">
        <v>742</v>
      </c>
      <c r="C605" s="198"/>
      <c r="D605" s="380">
        <f t="shared" si="93"/>
        <v>0</v>
      </c>
      <c r="E605" s="395"/>
      <c r="F605" s="396"/>
    </row>
    <row r="606" s="181" customFormat="true" hidden="true" spans="1:8">
      <c r="A606" s="382">
        <v>20825</v>
      </c>
      <c r="B606" s="417" t="s">
        <v>743</v>
      </c>
      <c r="C606" s="400">
        <f t="shared" ref="C606:H606" si="99">SUM(C607:C608)</f>
        <v>0</v>
      </c>
      <c r="D606" s="380">
        <f t="shared" si="93"/>
        <v>0</v>
      </c>
      <c r="E606" s="395"/>
      <c r="F606" s="403">
        <f t="shared" si="99"/>
        <v>0</v>
      </c>
      <c r="G606" s="404">
        <f t="shared" si="99"/>
        <v>0</v>
      </c>
      <c r="H606" s="404">
        <f t="shared" si="99"/>
        <v>0</v>
      </c>
    </row>
    <row r="607" s="181" customFormat="true" hidden="true" spans="1:6">
      <c r="A607" s="382">
        <v>2082501</v>
      </c>
      <c r="B607" s="385" t="s">
        <v>744</v>
      </c>
      <c r="C607" s="198"/>
      <c r="D607" s="380">
        <f t="shared" si="93"/>
        <v>0</v>
      </c>
      <c r="E607" s="395"/>
      <c r="F607" s="396"/>
    </row>
    <row r="608" s="181" customFormat="true" hidden="true" spans="1:6">
      <c r="A608" s="382">
        <v>2082502</v>
      </c>
      <c r="B608" s="385" t="s">
        <v>745</v>
      </c>
      <c r="C608" s="198"/>
      <c r="D608" s="380">
        <f t="shared" si="93"/>
        <v>0</v>
      </c>
      <c r="E608" s="395"/>
      <c r="F608" s="396"/>
    </row>
    <row r="609" s="360" customFormat="true" hidden="true" spans="1:8">
      <c r="A609" s="377">
        <v>20826</v>
      </c>
      <c r="B609" s="386" t="s">
        <v>746</v>
      </c>
      <c r="C609" s="379">
        <f t="shared" ref="C609:H609" si="100">SUM(C610:C612)</f>
        <v>220</v>
      </c>
      <c r="D609" s="380">
        <f t="shared" si="93"/>
        <v>0</v>
      </c>
      <c r="E609" s="224">
        <f>(D609/C609-1)</f>
        <v>-1</v>
      </c>
      <c r="F609" s="397">
        <f t="shared" si="100"/>
        <v>0</v>
      </c>
      <c r="G609" s="402">
        <f t="shared" si="100"/>
        <v>0</v>
      </c>
      <c r="H609" s="402">
        <f t="shared" si="100"/>
        <v>0</v>
      </c>
    </row>
    <row r="610" s="181" customFormat="true" hidden="true" spans="1:6">
      <c r="A610" s="382">
        <v>2082601</v>
      </c>
      <c r="B610" s="385" t="s">
        <v>747</v>
      </c>
      <c r="C610" s="198"/>
      <c r="D610" s="380">
        <f t="shared" si="93"/>
        <v>0</v>
      </c>
      <c r="E610" s="395"/>
      <c r="F610" s="396"/>
    </row>
    <row r="611" s="360" customFormat="true" hidden="true" spans="1:6">
      <c r="A611" s="377">
        <v>2082602</v>
      </c>
      <c r="B611" s="386" t="s">
        <v>748</v>
      </c>
      <c r="C611" s="381">
        <v>220</v>
      </c>
      <c r="D611" s="380">
        <f t="shared" si="93"/>
        <v>0</v>
      </c>
      <c r="E611" s="224">
        <f>(D611/C611-1)</f>
        <v>-1</v>
      </c>
      <c r="F611" s="380"/>
    </row>
    <row r="612" s="181" customFormat="true" hidden="true" spans="1:6">
      <c r="A612" s="382">
        <v>2082699</v>
      </c>
      <c r="B612" s="385" t="s">
        <v>749</v>
      </c>
      <c r="C612" s="198"/>
      <c r="D612" s="380">
        <f t="shared" si="93"/>
        <v>0</v>
      </c>
      <c r="E612" s="395" t="e">
        <f>(C612/#REF!-1)</f>
        <v>#REF!</v>
      </c>
      <c r="F612" s="396"/>
    </row>
    <row r="613" s="181" customFormat="true" spans="1:8">
      <c r="A613" s="382">
        <v>20827</v>
      </c>
      <c r="B613" s="417" t="s">
        <v>750</v>
      </c>
      <c r="C613" s="400">
        <f t="shared" ref="C613:H613" si="101">SUM(C614:C616)</f>
        <v>0</v>
      </c>
      <c r="D613" s="380">
        <f t="shared" si="93"/>
        <v>200</v>
      </c>
      <c r="E613" s="224">
        <v>0</v>
      </c>
      <c r="F613" s="403">
        <f t="shared" si="101"/>
        <v>200</v>
      </c>
      <c r="G613" s="404">
        <f t="shared" si="101"/>
        <v>0</v>
      </c>
      <c r="H613" s="404">
        <f t="shared" si="101"/>
        <v>0</v>
      </c>
    </row>
    <row r="614" s="181" customFormat="true" hidden="true" spans="1:6">
      <c r="A614" s="382">
        <v>2082701</v>
      </c>
      <c r="B614" s="385" t="s">
        <v>751</v>
      </c>
      <c r="C614" s="198"/>
      <c r="D614" s="380">
        <f t="shared" si="93"/>
        <v>0</v>
      </c>
      <c r="E614" s="224"/>
      <c r="F614" s="396"/>
    </row>
    <row r="615" s="181" customFormat="true" hidden="true" spans="1:6">
      <c r="A615" s="382">
        <v>2082702</v>
      </c>
      <c r="B615" s="385" t="s">
        <v>752</v>
      </c>
      <c r="C615" s="198"/>
      <c r="D615" s="380">
        <f t="shared" si="93"/>
        <v>0</v>
      </c>
      <c r="E615" s="224"/>
      <c r="F615" s="396"/>
    </row>
    <row r="616" s="181" customFormat="true" spans="1:6">
      <c r="A616" s="382">
        <v>2082799</v>
      </c>
      <c r="B616" s="385" t="s">
        <v>753</v>
      </c>
      <c r="C616" s="198"/>
      <c r="D616" s="380">
        <f t="shared" si="93"/>
        <v>200</v>
      </c>
      <c r="E616" s="224">
        <v>0</v>
      </c>
      <c r="F616" s="396">
        <v>200</v>
      </c>
    </row>
    <row r="617" s="360" customFormat="true" spans="1:8">
      <c r="A617" s="377">
        <v>20828</v>
      </c>
      <c r="B617" s="421" t="s">
        <v>754</v>
      </c>
      <c r="C617" s="379">
        <f t="shared" ref="C617:H617" si="102">SUM(C618:C624)</f>
        <v>779</v>
      </c>
      <c r="D617" s="380">
        <f t="shared" si="93"/>
        <v>596</v>
      </c>
      <c r="E617" s="224">
        <f>(D617/C617-1)</f>
        <v>-0.234916559691913</v>
      </c>
      <c r="F617" s="397">
        <f t="shared" si="102"/>
        <v>596</v>
      </c>
      <c r="G617" s="402">
        <f t="shared" si="102"/>
        <v>0</v>
      </c>
      <c r="H617" s="402">
        <f t="shared" si="102"/>
        <v>0</v>
      </c>
    </row>
    <row r="618" s="360" customFormat="true" spans="1:6">
      <c r="A618" s="377">
        <v>2082801</v>
      </c>
      <c r="B618" s="386" t="s">
        <v>306</v>
      </c>
      <c r="C618" s="381">
        <v>229</v>
      </c>
      <c r="D618" s="380">
        <f t="shared" si="93"/>
        <v>243</v>
      </c>
      <c r="E618" s="224">
        <f>(D618/C618-1)</f>
        <v>0.0611353711790392</v>
      </c>
      <c r="F618" s="380">
        <v>243</v>
      </c>
    </row>
    <row r="619" s="360" customFormat="true" spans="1:6">
      <c r="A619" s="377">
        <v>2082802</v>
      </c>
      <c r="B619" s="386" t="s">
        <v>307</v>
      </c>
      <c r="C619" s="381">
        <v>20</v>
      </c>
      <c r="D619" s="380">
        <f t="shared" si="93"/>
        <v>18</v>
      </c>
      <c r="E619" s="224">
        <f>(D619/C619-1)</f>
        <v>-0.1</v>
      </c>
      <c r="F619" s="380">
        <v>18</v>
      </c>
    </row>
    <row r="620" s="181" customFormat="true" hidden="true" spans="1:6">
      <c r="A620" s="382">
        <v>2082803</v>
      </c>
      <c r="B620" s="385" t="s">
        <v>308</v>
      </c>
      <c r="C620" s="198"/>
      <c r="D620" s="380">
        <f t="shared" si="93"/>
        <v>0</v>
      </c>
      <c r="E620" s="395"/>
      <c r="F620" s="396"/>
    </row>
    <row r="621" s="181" customFormat="true" hidden="true" spans="1:6">
      <c r="A621" s="382">
        <v>2082804</v>
      </c>
      <c r="B621" s="385" t="s">
        <v>755</v>
      </c>
      <c r="C621" s="198"/>
      <c r="D621" s="380">
        <f t="shared" si="93"/>
        <v>0</v>
      </c>
      <c r="E621" s="395"/>
      <c r="F621" s="396"/>
    </row>
    <row r="622" s="181" customFormat="true" hidden="true" spans="1:6">
      <c r="A622" s="382">
        <v>2082805</v>
      </c>
      <c r="B622" s="385" t="s">
        <v>756</v>
      </c>
      <c r="C622" s="198"/>
      <c r="D622" s="380">
        <f t="shared" si="93"/>
        <v>0</v>
      </c>
      <c r="E622" s="395"/>
      <c r="F622" s="396"/>
    </row>
    <row r="623" s="181" customFormat="true" hidden="true" spans="1:6">
      <c r="A623" s="382">
        <v>2082850</v>
      </c>
      <c r="B623" s="385" t="s">
        <v>315</v>
      </c>
      <c r="C623" s="198"/>
      <c r="D623" s="380">
        <f t="shared" si="93"/>
        <v>0</v>
      </c>
      <c r="E623" s="395"/>
      <c r="F623" s="396"/>
    </row>
    <row r="624" s="360" customFormat="true" spans="1:6">
      <c r="A624" s="377">
        <v>2082899</v>
      </c>
      <c r="B624" s="386" t="s">
        <v>757</v>
      </c>
      <c r="C624" s="381">
        <v>530</v>
      </c>
      <c r="D624" s="380">
        <f t="shared" si="93"/>
        <v>335</v>
      </c>
      <c r="E624" s="224">
        <f>(D624/C624-1)</f>
        <v>-0.367924528301887</v>
      </c>
      <c r="F624" s="380">
        <v>335</v>
      </c>
    </row>
    <row r="625" s="181" customFormat="true" hidden="true" spans="1:8">
      <c r="A625" s="382">
        <v>20830</v>
      </c>
      <c r="B625" s="417" t="s">
        <v>758</v>
      </c>
      <c r="C625" s="400">
        <f t="shared" ref="C625:H625" si="103">SUM(C626:C627)</f>
        <v>0</v>
      </c>
      <c r="D625" s="380">
        <f t="shared" si="93"/>
        <v>0</v>
      </c>
      <c r="E625" s="395"/>
      <c r="F625" s="403">
        <f t="shared" si="103"/>
        <v>0</v>
      </c>
      <c r="G625" s="404">
        <f t="shared" si="103"/>
        <v>0</v>
      </c>
      <c r="H625" s="404">
        <f t="shared" si="103"/>
        <v>0</v>
      </c>
    </row>
    <row r="626" s="181" customFormat="true" hidden="true" spans="1:6">
      <c r="A626" s="382">
        <v>2083001</v>
      </c>
      <c r="B626" s="385" t="s">
        <v>759</v>
      </c>
      <c r="C626" s="198"/>
      <c r="D626" s="380">
        <f t="shared" si="93"/>
        <v>0</v>
      </c>
      <c r="E626" s="395"/>
      <c r="F626" s="396"/>
    </row>
    <row r="627" s="181" customFormat="true" hidden="true" spans="1:6">
      <c r="A627" s="382">
        <v>2083099</v>
      </c>
      <c r="B627" s="385" t="s">
        <v>760</v>
      </c>
      <c r="C627" s="198"/>
      <c r="D627" s="380">
        <f t="shared" si="93"/>
        <v>0</v>
      </c>
      <c r="E627" s="395"/>
      <c r="F627" s="396"/>
    </row>
    <row r="628" s="360" customFormat="true" spans="1:8">
      <c r="A628" s="377">
        <v>2089999</v>
      </c>
      <c r="B628" s="386" t="s">
        <v>761</v>
      </c>
      <c r="C628" s="379">
        <v>4760</v>
      </c>
      <c r="D628" s="380">
        <f t="shared" si="93"/>
        <v>7124</v>
      </c>
      <c r="E628" s="224">
        <f>(D628/C628-1)</f>
        <v>0.496638655462185</v>
      </c>
      <c r="F628" s="397">
        <v>5320</v>
      </c>
      <c r="H628" s="360">
        <v>1804</v>
      </c>
    </row>
    <row r="629" s="362" customFormat="true" spans="1:8">
      <c r="A629" s="373">
        <v>210</v>
      </c>
      <c r="B629" s="374" t="s">
        <v>762</v>
      </c>
      <c r="C629" s="375">
        <f t="shared" ref="C629:H629" si="104">SUM(C630,C635,C650,C654,C666,C669,C673,C678,C682,C686,C689,C698,C699)</f>
        <v>99068</v>
      </c>
      <c r="D629" s="376">
        <f t="shared" si="93"/>
        <v>117764</v>
      </c>
      <c r="E629" s="224">
        <f>(D629/C629-1)</f>
        <v>0.188718859773085</v>
      </c>
      <c r="F629" s="415">
        <f t="shared" si="104"/>
        <v>19108</v>
      </c>
      <c r="G629" s="362">
        <f t="shared" si="104"/>
        <v>89578</v>
      </c>
      <c r="H629" s="362">
        <f t="shared" si="104"/>
        <v>9078</v>
      </c>
    </row>
    <row r="630" s="360" customFormat="true" spans="1:8">
      <c r="A630" s="377">
        <v>21001</v>
      </c>
      <c r="B630" s="386" t="s">
        <v>763</v>
      </c>
      <c r="C630" s="379">
        <f t="shared" ref="C630:H630" si="105">SUM(C631:C634)</f>
        <v>483</v>
      </c>
      <c r="D630" s="380">
        <f t="shared" si="93"/>
        <v>488</v>
      </c>
      <c r="E630" s="224">
        <f>(D630/C630-1)</f>
        <v>0.010351966873706</v>
      </c>
      <c r="F630" s="397">
        <f t="shared" si="105"/>
        <v>460</v>
      </c>
      <c r="G630" s="402">
        <f t="shared" si="105"/>
        <v>0</v>
      </c>
      <c r="H630" s="402">
        <f t="shared" si="105"/>
        <v>28</v>
      </c>
    </row>
    <row r="631" s="360" customFormat="true" spans="1:6">
      <c r="A631" s="377">
        <v>2100101</v>
      </c>
      <c r="B631" s="386" t="s">
        <v>306</v>
      </c>
      <c r="C631" s="381">
        <v>442</v>
      </c>
      <c r="D631" s="380">
        <f t="shared" si="93"/>
        <v>434</v>
      </c>
      <c r="E631" s="224">
        <f>(D631/C631-1)</f>
        <v>-0.0180995475113123</v>
      </c>
      <c r="F631" s="380">
        <v>434</v>
      </c>
    </row>
    <row r="632" s="360" customFormat="true" spans="1:8">
      <c r="A632" s="377">
        <v>2100102</v>
      </c>
      <c r="B632" s="386" t="s">
        <v>307</v>
      </c>
      <c r="C632" s="381">
        <v>25</v>
      </c>
      <c r="D632" s="380">
        <f t="shared" si="93"/>
        <v>36</v>
      </c>
      <c r="E632" s="224">
        <f>(D632/C632-1)</f>
        <v>0.44</v>
      </c>
      <c r="F632" s="380">
        <v>26</v>
      </c>
      <c r="H632" s="360">
        <v>10</v>
      </c>
    </row>
    <row r="633" s="181" customFormat="true" hidden="true" spans="1:6">
      <c r="A633" s="382">
        <v>2100103</v>
      </c>
      <c r="B633" s="385" t="s">
        <v>308</v>
      </c>
      <c r="C633" s="198">
        <v>0</v>
      </c>
      <c r="D633" s="380">
        <f t="shared" si="93"/>
        <v>0</v>
      </c>
      <c r="E633" s="395"/>
      <c r="F633" s="396"/>
    </row>
    <row r="634" s="360" customFormat="true" spans="1:8">
      <c r="A634" s="377">
        <v>2100199</v>
      </c>
      <c r="B634" s="386" t="s">
        <v>764</v>
      </c>
      <c r="C634" s="381">
        <v>16</v>
      </c>
      <c r="D634" s="380">
        <f t="shared" si="93"/>
        <v>18</v>
      </c>
      <c r="E634" s="224">
        <f>(D634/C634-1)</f>
        <v>0.125</v>
      </c>
      <c r="F634" s="380"/>
      <c r="H634" s="360">
        <v>18</v>
      </c>
    </row>
    <row r="635" s="360" customFormat="true" spans="1:8">
      <c r="A635" s="377">
        <v>21002</v>
      </c>
      <c r="B635" s="386" t="s">
        <v>765</v>
      </c>
      <c r="C635" s="379">
        <f t="shared" ref="C635:H635" si="106">SUM(C636:C649)</f>
        <v>10595</v>
      </c>
      <c r="D635" s="380">
        <f t="shared" si="93"/>
        <v>8856</v>
      </c>
      <c r="E635" s="224">
        <f>(D635/C635-1)</f>
        <v>-0.164134025483719</v>
      </c>
      <c r="F635" s="397">
        <f t="shared" si="106"/>
        <v>8239</v>
      </c>
      <c r="G635" s="402">
        <f t="shared" si="106"/>
        <v>290</v>
      </c>
      <c r="H635" s="402">
        <f t="shared" si="106"/>
        <v>327</v>
      </c>
    </row>
    <row r="636" s="360" customFormat="true" spans="1:8">
      <c r="A636" s="377">
        <v>2100201</v>
      </c>
      <c r="B636" s="386" t="s">
        <v>766</v>
      </c>
      <c r="C636" s="381">
        <v>7336</v>
      </c>
      <c r="D636" s="380">
        <f t="shared" si="93"/>
        <v>6684</v>
      </c>
      <c r="E636" s="224">
        <f>(D636/C636-1)</f>
        <v>-0.0888767720828789</v>
      </c>
      <c r="F636" s="380">
        <v>6167</v>
      </c>
      <c r="G636" s="360">
        <v>290</v>
      </c>
      <c r="H636" s="360">
        <v>227</v>
      </c>
    </row>
    <row r="637" s="360" customFormat="true" spans="1:6">
      <c r="A637" s="377">
        <v>2100202</v>
      </c>
      <c r="B637" s="386" t="s">
        <v>767</v>
      </c>
      <c r="C637" s="381">
        <v>2240</v>
      </c>
      <c r="D637" s="380">
        <f t="shared" si="93"/>
        <v>1462</v>
      </c>
      <c r="E637" s="224">
        <f>(D637/C637-1)</f>
        <v>-0.347321428571429</v>
      </c>
      <c r="F637" s="380">
        <v>1462</v>
      </c>
    </row>
    <row r="638" s="181" customFormat="true" hidden="true" spans="1:6">
      <c r="A638" s="382">
        <v>2100203</v>
      </c>
      <c r="B638" s="385" t="s">
        <v>768</v>
      </c>
      <c r="C638" s="198">
        <v>0</v>
      </c>
      <c r="D638" s="380">
        <f t="shared" si="93"/>
        <v>0</v>
      </c>
      <c r="E638" s="395"/>
      <c r="F638" s="396"/>
    </row>
    <row r="639" s="181" customFormat="true" hidden="true" spans="1:6">
      <c r="A639" s="382">
        <v>2100204</v>
      </c>
      <c r="B639" s="385" t="s">
        <v>769</v>
      </c>
      <c r="C639" s="198">
        <v>0</v>
      </c>
      <c r="D639" s="380">
        <f t="shared" si="93"/>
        <v>0</v>
      </c>
      <c r="E639" s="395"/>
      <c r="F639" s="396"/>
    </row>
    <row r="640" s="360" customFormat="true" spans="1:6">
      <c r="A640" s="377">
        <v>2100205</v>
      </c>
      <c r="B640" s="386" t="s">
        <v>770</v>
      </c>
      <c r="C640" s="381">
        <v>626</v>
      </c>
      <c r="D640" s="380">
        <f t="shared" si="93"/>
        <v>610</v>
      </c>
      <c r="E640" s="224">
        <f>(D640/C640-1)</f>
        <v>-0.0255591054313099</v>
      </c>
      <c r="F640" s="380">
        <v>610</v>
      </c>
    </row>
    <row r="641" s="181" customFormat="true" hidden="true" spans="1:6">
      <c r="A641" s="382">
        <v>2100206</v>
      </c>
      <c r="B641" s="385" t="s">
        <v>771</v>
      </c>
      <c r="C641" s="198">
        <v>0</v>
      </c>
      <c r="D641" s="380">
        <f t="shared" si="93"/>
        <v>0</v>
      </c>
      <c r="E641" s="395"/>
      <c r="F641" s="396"/>
    </row>
    <row r="642" s="181" customFormat="true" hidden="true" spans="1:6">
      <c r="A642" s="382">
        <v>2100207</v>
      </c>
      <c r="B642" s="385" t="s">
        <v>772</v>
      </c>
      <c r="C642" s="198">
        <v>0</v>
      </c>
      <c r="D642" s="380">
        <f t="shared" si="93"/>
        <v>0</v>
      </c>
      <c r="E642" s="395"/>
      <c r="F642" s="396"/>
    </row>
    <row r="643" s="181" customFormat="true" hidden="true" spans="1:6">
      <c r="A643" s="382">
        <v>2100208</v>
      </c>
      <c r="B643" s="385" t="s">
        <v>773</v>
      </c>
      <c r="C643" s="198">
        <v>0</v>
      </c>
      <c r="D643" s="380">
        <f t="shared" si="93"/>
        <v>0</v>
      </c>
      <c r="E643" s="395"/>
      <c r="F643" s="396"/>
    </row>
    <row r="644" s="181" customFormat="true" hidden="true" spans="1:6">
      <c r="A644" s="382">
        <v>2100209</v>
      </c>
      <c r="B644" s="385" t="s">
        <v>774</v>
      </c>
      <c r="C644" s="198">
        <v>0</v>
      </c>
      <c r="D644" s="380">
        <f t="shared" si="93"/>
        <v>0</v>
      </c>
      <c r="E644" s="395"/>
      <c r="F644" s="396"/>
    </row>
    <row r="645" s="181" customFormat="true" hidden="true" spans="1:6">
      <c r="A645" s="382">
        <v>2100210</v>
      </c>
      <c r="B645" s="385" t="s">
        <v>775</v>
      </c>
      <c r="C645" s="198">
        <v>0</v>
      </c>
      <c r="D645" s="380">
        <f t="shared" si="93"/>
        <v>0</v>
      </c>
      <c r="E645" s="395"/>
      <c r="F645" s="396"/>
    </row>
    <row r="646" s="181" customFormat="true" hidden="true" spans="1:6">
      <c r="A646" s="382">
        <v>2100211</v>
      </c>
      <c r="B646" s="385" t="s">
        <v>776</v>
      </c>
      <c r="C646" s="198">
        <v>0</v>
      </c>
      <c r="D646" s="380">
        <f t="shared" si="93"/>
        <v>0</v>
      </c>
      <c r="E646" s="395"/>
      <c r="F646" s="396"/>
    </row>
    <row r="647" s="181" customFormat="true" hidden="true" spans="1:6">
      <c r="A647" s="382">
        <v>2100212</v>
      </c>
      <c r="B647" s="385" t="s">
        <v>777</v>
      </c>
      <c r="C647" s="198">
        <v>0</v>
      </c>
      <c r="D647" s="380">
        <f t="shared" si="93"/>
        <v>0</v>
      </c>
      <c r="E647" s="395"/>
      <c r="F647" s="396"/>
    </row>
    <row r="648" s="181" customFormat="true" hidden="true" spans="1:6">
      <c r="A648" s="382">
        <v>2100213</v>
      </c>
      <c r="B648" s="385" t="s">
        <v>778</v>
      </c>
      <c r="C648" s="198">
        <v>0</v>
      </c>
      <c r="D648" s="380">
        <f t="shared" si="93"/>
        <v>0</v>
      </c>
      <c r="E648" s="395"/>
      <c r="F648" s="396"/>
    </row>
    <row r="649" s="360" customFormat="true" spans="1:8">
      <c r="A649" s="377">
        <v>2100299</v>
      </c>
      <c r="B649" s="386" t="s">
        <v>779</v>
      </c>
      <c r="C649" s="381">
        <v>393</v>
      </c>
      <c r="D649" s="380">
        <f t="shared" si="93"/>
        <v>100</v>
      </c>
      <c r="E649" s="224">
        <f>(D649/C649-1)</f>
        <v>-0.745547073791349</v>
      </c>
      <c r="F649" s="380"/>
      <c r="H649" s="360">
        <v>100</v>
      </c>
    </row>
    <row r="650" s="360" customFormat="true" spans="1:8">
      <c r="A650" s="377">
        <v>21003</v>
      </c>
      <c r="B650" s="386" t="s">
        <v>780</v>
      </c>
      <c r="C650" s="379">
        <f t="shared" ref="C650:H650" si="107">SUM(C651:C653)</f>
        <v>63</v>
      </c>
      <c r="D650" s="380">
        <f t="shared" ref="D650:D713" si="108">F650+G650+H650</f>
        <v>78</v>
      </c>
      <c r="E650" s="224">
        <f>(D650/C650-1)</f>
        <v>0.238095238095238</v>
      </c>
      <c r="F650" s="397">
        <f t="shared" si="107"/>
        <v>76</v>
      </c>
      <c r="G650" s="402">
        <f t="shared" si="107"/>
        <v>0</v>
      </c>
      <c r="H650" s="402">
        <f t="shared" si="107"/>
        <v>2</v>
      </c>
    </row>
    <row r="651" s="360" customFormat="true" spans="1:8">
      <c r="A651" s="377">
        <v>2100301</v>
      </c>
      <c r="B651" s="386" t="s">
        <v>781</v>
      </c>
      <c r="C651" s="381">
        <v>63</v>
      </c>
      <c r="D651" s="380">
        <f t="shared" si="108"/>
        <v>78</v>
      </c>
      <c r="E651" s="224">
        <f>(D651/C651-1)</f>
        <v>0.238095238095238</v>
      </c>
      <c r="F651" s="380">
        <v>76</v>
      </c>
      <c r="H651" s="360">
        <v>2</v>
      </c>
    </row>
    <row r="652" s="181" customFormat="true" hidden="true" spans="1:6">
      <c r="A652" s="382">
        <v>2100302</v>
      </c>
      <c r="B652" s="385" t="s">
        <v>782</v>
      </c>
      <c r="C652" s="198"/>
      <c r="D652" s="380">
        <f t="shared" si="108"/>
        <v>0</v>
      </c>
      <c r="E652" s="395"/>
      <c r="F652" s="396"/>
    </row>
    <row r="653" s="181" customFormat="true" hidden="true" spans="1:6">
      <c r="A653" s="382">
        <v>2100399</v>
      </c>
      <c r="B653" s="385" t="s">
        <v>783</v>
      </c>
      <c r="C653" s="198"/>
      <c r="D653" s="380">
        <f t="shared" si="108"/>
        <v>0</v>
      </c>
      <c r="E653" s="395"/>
      <c r="F653" s="396"/>
    </row>
    <row r="654" s="360" customFormat="true" spans="1:8">
      <c r="A654" s="377">
        <v>21004</v>
      </c>
      <c r="B654" s="386" t="s">
        <v>784</v>
      </c>
      <c r="C654" s="379">
        <f t="shared" ref="C654:H654" si="109">SUM(C655:C665)</f>
        <v>10597</v>
      </c>
      <c r="D654" s="380">
        <f t="shared" si="108"/>
        <v>4175</v>
      </c>
      <c r="E654" s="224">
        <f>(D654/C654-1)</f>
        <v>-0.60602057185996</v>
      </c>
      <c r="F654" s="397">
        <f t="shared" si="109"/>
        <v>3346</v>
      </c>
      <c r="G654" s="402">
        <f t="shared" si="109"/>
        <v>283</v>
      </c>
      <c r="H654" s="402">
        <f t="shared" si="109"/>
        <v>546</v>
      </c>
    </row>
    <row r="655" s="360" customFormat="true" spans="1:8">
      <c r="A655" s="377">
        <v>2100401</v>
      </c>
      <c r="B655" s="386" t="s">
        <v>785</v>
      </c>
      <c r="C655" s="381">
        <v>1113</v>
      </c>
      <c r="D655" s="380">
        <f t="shared" si="108"/>
        <v>1233</v>
      </c>
      <c r="E655" s="224">
        <f>(D655/C655-1)</f>
        <v>0.107816711590297</v>
      </c>
      <c r="F655" s="380">
        <v>1111</v>
      </c>
      <c r="H655" s="360">
        <v>122</v>
      </c>
    </row>
    <row r="656" s="360" customFormat="true" spans="1:8">
      <c r="A656" s="377">
        <v>2100402</v>
      </c>
      <c r="B656" s="386" t="s">
        <v>786</v>
      </c>
      <c r="C656" s="381">
        <v>319</v>
      </c>
      <c r="D656" s="380">
        <f t="shared" si="108"/>
        <v>342</v>
      </c>
      <c r="E656" s="224">
        <f>(D656/C656-1)</f>
        <v>0.0721003134796239</v>
      </c>
      <c r="F656" s="380">
        <v>341</v>
      </c>
      <c r="H656" s="360">
        <v>1</v>
      </c>
    </row>
    <row r="657" s="360" customFormat="true" spans="1:8">
      <c r="A657" s="377">
        <v>2100403</v>
      </c>
      <c r="B657" s="386" t="s">
        <v>787</v>
      </c>
      <c r="C657" s="381">
        <v>1419</v>
      </c>
      <c r="D657" s="380">
        <f t="shared" si="108"/>
        <v>1530</v>
      </c>
      <c r="E657" s="224">
        <f>(D657/C657-1)</f>
        <v>0.0782241014799154</v>
      </c>
      <c r="F657" s="380">
        <v>1507</v>
      </c>
      <c r="H657" s="360">
        <v>23</v>
      </c>
    </row>
    <row r="658" s="181" customFormat="true" hidden="true" spans="1:6">
      <c r="A658" s="382">
        <v>2100404</v>
      </c>
      <c r="B658" s="385" t="s">
        <v>788</v>
      </c>
      <c r="C658" s="420">
        <v>0</v>
      </c>
      <c r="D658" s="380">
        <f t="shared" si="108"/>
        <v>0</v>
      </c>
      <c r="E658" s="395"/>
      <c r="F658" s="422"/>
    </row>
    <row r="659" s="360" customFormat="true" spans="1:8">
      <c r="A659" s="377">
        <v>2100405</v>
      </c>
      <c r="B659" s="386" t="s">
        <v>789</v>
      </c>
      <c r="C659" s="381">
        <v>143</v>
      </c>
      <c r="D659" s="380">
        <f t="shared" si="108"/>
        <v>139</v>
      </c>
      <c r="E659" s="224">
        <f>(D659/C659-1)</f>
        <v>-0.027972027972028</v>
      </c>
      <c r="F659" s="380">
        <v>138</v>
      </c>
      <c r="H659" s="360">
        <v>1</v>
      </c>
    </row>
    <row r="660" s="360" customFormat="true" spans="1:6">
      <c r="A660" s="377">
        <v>2100406</v>
      </c>
      <c r="B660" s="386" t="s">
        <v>790</v>
      </c>
      <c r="C660" s="381">
        <v>259</v>
      </c>
      <c r="D660" s="380">
        <f t="shared" si="108"/>
        <v>249</v>
      </c>
      <c r="E660" s="224">
        <f>(D660/C660-1)</f>
        <v>-0.0386100386100386</v>
      </c>
      <c r="F660" s="380">
        <v>249</v>
      </c>
    </row>
    <row r="661" s="181" customFormat="true" hidden="true" spans="1:6">
      <c r="A661" s="382">
        <v>2100407</v>
      </c>
      <c r="B661" s="385" t="s">
        <v>791</v>
      </c>
      <c r="C661" s="198">
        <v>0</v>
      </c>
      <c r="D661" s="380">
        <f t="shared" si="108"/>
        <v>0</v>
      </c>
      <c r="E661" s="395"/>
      <c r="F661" s="396"/>
    </row>
    <row r="662" s="360" customFormat="true" spans="1:8">
      <c r="A662" s="377">
        <v>2100408</v>
      </c>
      <c r="B662" s="386" t="s">
        <v>792</v>
      </c>
      <c r="C662" s="381">
        <f>166+2847</f>
        <v>3013</v>
      </c>
      <c r="D662" s="380">
        <f t="shared" si="108"/>
        <v>26</v>
      </c>
      <c r="E662" s="224">
        <f t="shared" ref="E662:E668" si="110">(D662/C662-1)</f>
        <v>-0.991370726850315</v>
      </c>
      <c r="F662" s="380"/>
      <c r="H662" s="360">
        <v>26</v>
      </c>
    </row>
    <row r="663" s="360" customFormat="true" spans="1:8">
      <c r="A663" s="377">
        <v>2100409</v>
      </c>
      <c r="B663" s="386" t="s">
        <v>793</v>
      </c>
      <c r="C663" s="381">
        <v>1960</v>
      </c>
      <c r="D663" s="380">
        <f t="shared" si="108"/>
        <v>320</v>
      </c>
      <c r="E663" s="224">
        <f t="shared" si="110"/>
        <v>-0.836734693877551</v>
      </c>
      <c r="F663" s="380"/>
      <c r="H663" s="360">
        <v>320</v>
      </c>
    </row>
    <row r="664" s="360" customFormat="true" spans="1:8">
      <c r="A664" s="377">
        <v>2100410</v>
      </c>
      <c r="B664" s="386" t="s">
        <v>794</v>
      </c>
      <c r="C664" s="381">
        <v>664</v>
      </c>
      <c r="D664" s="380">
        <f t="shared" si="108"/>
        <v>45</v>
      </c>
      <c r="E664" s="224">
        <f t="shared" si="110"/>
        <v>-0.932228915662651</v>
      </c>
      <c r="F664" s="380"/>
      <c r="H664" s="360">
        <v>45</v>
      </c>
    </row>
    <row r="665" s="360" customFormat="true" spans="1:9">
      <c r="A665" s="377">
        <v>2100499</v>
      </c>
      <c r="B665" s="386" t="s">
        <v>795</v>
      </c>
      <c r="C665" s="381">
        <f>196+1511</f>
        <v>1707</v>
      </c>
      <c r="D665" s="380">
        <f t="shared" si="108"/>
        <v>291</v>
      </c>
      <c r="E665" s="224">
        <f t="shared" si="110"/>
        <v>-0.829525483304042</v>
      </c>
      <c r="F665" s="380"/>
      <c r="G665" s="360">
        <v>283</v>
      </c>
      <c r="H665" s="360">
        <v>8</v>
      </c>
      <c r="I665" s="428" t="s">
        <v>796</v>
      </c>
    </row>
    <row r="666" s="360" customFormat="true" spans="1:8">
      <c r="A666" s="377">
        <v>21006</v>
      </c>
      <c r="B666" s="386" t="s">
        <v>797</v>
      </c>
      <c r="C666" s="379">
        <f t="shared" ref="C666:H666" si="111">SUM(C667:C668)</f>
        <v>535</v>
      </c>
      <c r="D666" s="380">
        <f t="shared" si="108"/>
        <v>3</v>
      </c>
      <c r="E666" s="224">
        <f t="shared" si="110"/>
        <v>-0.994392523364486</v>
      </c>
      <c r="F666" s="397">
        <f t="shared" si="111"/>
        <v>0</v>
      </c>
      <c r="G666" s="402">
        <f t="shared" si="111"/>
        <v>0</v>
      </c>
      <c r="H666" s="402">
        <f t="shared" si="111"/>
        <v>3</v>
      </c>
    </row>
    <row r="667" s="360" customFormat="true" spans="1:8">
      <c r="A667" s="377">
        <v>2100601</v>
      </c>
      <c r="B667" s="386" t="s">
        <v>798</v>
      </c>
      <c r="C667" s="381">
        <f>185+203</f>
        <v>388</v>
      </c>
      <c r="D667" s="380">
        <f t="shared" si="108"/>
        <v>3</v>
      </c>
      <c r="E667" s="224">
        <f t="shared" si="110"/>
        <v>-0.992268041237113</v>
      </c>
      <c r="F667" s="380"/>
      <c r="H667" s="360">
        <v>3</v>
      </c>
    </row>
    <row r="668" s="360" customFormat="true" hidden="true" spans="1:6">
      <c r="A668" s="377">
        <v>2100699</v>
      </c>
      <c r="B668" s="386" t="s">
        <v>799</v>
      </c>
      <c r="C668" s="423">
        <v>147</v>
      </c>
      <c r="D668" s="380">
        <f t="shared" si="108"/>
        <v>0</v>
      </c>
      <c r="E668" s="224">
        <f t="shared" si="110"/>
        <v>-1</v>
      </c>
      <c r="F668" s="427"/>
    </row>
    <row r="669" s="181" customFormat="true" spans="1:8">
      <c r="A669" s="382">
        <v>21007</v>
      </c>
      <c r="B669" s="417" t="s">
        <v>800</v>
      </c>
      <c r="C669" s="400">
        <f t="shared" ref="C669:H669" si="112">SUM(C670:C672)</f>
        <v>0</v>
      </c>
      <c r="D669" s="380">
        <f t="shared" si="108"/>
        <v>174</v>
      </c>
      <c r="E669" s="224">
        <v>0</v>
      </c>
      <c r="F669" s="403">
        <f t="shared" si="112"/>
        <v>174</v>
      </c>
      <c r="G669" s="404">
        <f t="shared" si="112"/>
        <v>0</v>
      </c>
      <c r="H669" s="404">
        <f t="shared" si="112"/>
        <v>0</v>
      </c>
    </row>
    <row r="670" s="181" customFormat="true" hidden="true" spans="1:6">
      <c r="A670" s="382">
        <v>2100716</v>
      </c>
      <c r="B670" s="385" t="s">
        <v>801</v>
      </c>
      <c r="C670" s="420"/>
      <c r="D670" s="380">
        <f t="shared" si="108"/>
        <v>0</v>
      </c>
      <c r="E670" s="395"/>
      <c r="F670" s="422"/>
    </row>
    <row r="671" s="181" customFormat="true" hidden="true" spans="1:6">
      <c r="A671" s="382">
        <v>2100717</v>
      </c>
      <c r="B671" s="385" t="s">
        <v>802</v>
      </c>
      <c r="C671" s="420"/>
      <c r="D671" s="380">
        <f t="shared" si="108"/>
        <v>0</v>
      </c>
      <c r="E671" s="395" t="e">
        <f>(C671/#REF!-1)</f>
        <v>#REF!</v>
      </c>
      <c r="F671" s="422"/>
    </row>
    <row r="672" s="181" customFormat="true" spans="1:6">
      <c r="A672" s="382">
        <v>2100799</v>
      </c>
      <c r="B672" s="385" t="s">
        <v>803</v>
      </c>
      <c r="C672" s="420"/>
      <c r="D672" s="380">
        <f t="shared" si="108"/>
        <v>174</v>
      </c>
      <c r="E672" s="395"/>
      <c r="F672" s="422">
        <v>174</v>
      </c>
    </row>
    <row r="673" s="360" customFormat="true" spans="1:8">
      <c r="A673" s="377">
        <v>21011</v>
      </c>
      <c r="B673" s="386" t="s">
        <v>804</v>
      </c>
      <c r="C673" s="379">
        <f t="shared" ref="C673:H673" si="113">SUM(C674:C677)</f>
        <v>5690</v>
      </c>
      <c r="D673" s="380">
        <f t="shared" si="108"/>
        <v>5861</v>
      </c>
      <c r="E673" s="224">
        <f t="shared" ref="E673:E678" si="114">(D673/C673-1)</f>
        <v>0.0300527240773287</v>
      </c>
      <c r="F673" s="397">
        <f t="shared" si="113"/>
        <v>5589</v>
      </c>
      <c r="G673" s="402">
        <f t="shared" si="113"/>
        <v>0</v>
      </c>
      <c r="H673" s="402">
        <f t="shared" si="113"/>
        <v>272</v>
      </c>
    </row>
    <row r="674" s="360" customFormat="true" spans="1:6">
      <c r="A674" s="377">
        <v>2101101</v>
      </c>
      <c r="B674" s="386" t="s">
        <v>805</v>
      </c>
      <c r="C674" s="381">
        <v>2108</v>
      </c>
      <c r="D674" s="380">
        <f t="shared" si="108"/>
        <v>2021</v>
      </c>
      <c r="E674" s="224">
        <f t="shared" si="114"/>
        <v>-0.0412713472485768</v>
      </c>
      <c r="F674" s="380">
        <v>2021</v>
      </c>
    </row>
    <row r="675" s="360" customFormat="true" spans="1:6">
      <c r="A675" s="377">
        <v>2101102</v>
      </c>
      <c r="B675" s="386" t="s">
        <v>806</v>
      </c>
      <c r="C675" s="381">
        <v>2794</v>
      </c>
      <c r="D675" s="380">
        <f t="shared" si="108"/>
        <v>2897</v>
      </c>
      <c r="E675" s="224">
        <f t="shared" si="114"/>
        <v>0.0368647100930566</v>
      </c>
      <c r="F675" s="380">
        <v>2897</v>
      </c>
    </row>
    <row r="676" s="360" customFormat="true" spans="1:8">
      <c r="A676" s="377">
        <v>2101103</v>
      </c>
      <c r="B676" s="386" t="s">
        <v>807</v>
      </c>
      <c r="C676" s="381">
        <v>488</v>
      </c>
      <c r="D676" s="380">
        <f t="shared" si="108"/>
        <v>643</v>
      </c>
      <c r="E676" s="224">
        <f t="shared" si="114"/>
        <v>0.317622950819672</v>
      </c>
      <c r="F676" s="380">
        <v>371</v>
      </c>
      <c r="H676" s="360">
        <v>272</v>
      </c>
    </row>
    <row r="677" s="360" customFormat="true" spans="1:6">
      <c r="A677" s="377">
        <v>2101199</v>
      </c>
      <c r="B677" s="386" t="s">
        <v>808</v>
      </c>
      <c r="C677" s="381">
        <v>300</v>
      </c>
      <c r="D677" s="380">
        <f t="shared" si="108"/>
        <v>300</v>
      </c>
      <c r="E677" s="224">
        <f t="shared" si="114"/>
        <v>0</v>
      </c>
      <c r="F677" s="380">
        <v>300</v>
      </c>
    </row>
    <row r="678" s="360" customFormat="true" spans="1:8">
      <c r="A678" s="377">
        <v>21012</v>
      </c>
      <c r="B678" s="386" t="s">
        <v>809</v>
      </c>
      <c r="C678" s="379">
        <f t="shared" ref="C678:H678" si="115">SUM(C679:C681)</f>
        <v>64760</v>
      </c>
      <c r="D678" s="380">
        <f t="shared" si="108"/>
        <v>68658</v>
      </c>
      <c r="E678" s="224">
        <f t="shared" si="114"/>
        <v>0.0601914762198887</v>
      </c>
      <c r="F678" s="397">
        <f t="shared" si="115"/>
        <v>0</v>
      </c>
      <c r="G678" s="402">
        <f t="shared" si="115"/>
        <v>68643</v>
      </c>
      <c r="H678" s="402">
        <f t="shared" si="115"/>
        <v>15</v>
      </c>
    </row>
    <row r="679" s="181" customFormat="true" hidden="true" spans="1:6">
      <c r="A679" s="382">
        <v>2101201</v>
      </c>
      <c r="B679" s="385" t="s">
        <v>810</v>
      </c>
      <c r="C679" s="198"/>
      <c r="D679" s="380">
        <f t="shared" si="108"/>
        <v>0</v>
      </c>
      <c r="E679" s="395"/>
      <c r="F679" s="396"/>
    </row>
    <row r="680" s="360" customFormat="true" spans="1:8">
      <c r="A680" s="377">
        <v>2101202</v>
      </c>
      <c r="B680" s="386" t="s">
        <v>811</v>
      </c>
      <c r="C680" s="381">
        <v>64760</v>
      </c>
      <c r="D680" s="380">
        <f t="shared" si="108"/>
        <v>68658</v>
      </c>
      <c r="E680" s="224">
        <f>(D680/C680-1)</f>
        <v>0.0601914762198887</v>
      </c>
      <c r="F680" s="380"/>
      <c r="G680" s="360">
        <v>68643</v>
      </c>
      <c r="H680" s="360">
        <v>15</v>
      </c>
    </row>
    <row r="681" s="181" customFormat="true" hidden="true" spans="1:6">
      <c r="A681" s="382">
        <v>2101299</v>
      </c>
      <c r="B681" s="385" t="s">
        <v>812</v>
      </c>
      <c r="C681" s="198"/>
      <c r="D681" s="380">
        <f t="shared" si="108"/>
        <v>0</v>
      </c>
      <c r="E681" s="395"/>
      <c r="F681" s="396"/>
    </row>
    <row r="682" s="360" customFormat="true" spans="1:8">
      <c r="A682" s="377">
        <v>21013</v>
      </c>
      <c r="B682" s="386" t="s">
        <v>813</v>
      </c>
      <c r="C682" s="379">
        <f t="shared" ref="C682:H682" si="116">SUM(C683:C685)</f>
        <v>4037</v>
      </c>
      <c r="D682" s="380">
        <f t="shared" si="108"/>
        <v>20362</v>
      </c>
      <c r="E682" s="224">
        <f>(D682/C682-1)</f>
        <v>4.04384443893981</v>
      </c>
      <c r="F682" s="397">
        <f t="shared" si="116"/>
        <v>0</v>
      </c>
      <c r="G682" s="402">
        <f t="shared" si="116"/>
        <v>20362</v>
      </c>
      <c r="H682" s="402">
        <f t="shared" si="116"/>
        <v>0</v>
      </c>
    </row>
    <row r="683" s="360" customFormat="true" spans="1:7">
      <c r="A683" s="377">
        <v>2101301</v>
      </c>
      <c r="B683" s="386" t="s">
        <v>814</v>
      </c>
      <c r="C683" s="381">
        <v>4037</v>
      </c>
      <c r="D683" s="380">
        <f t="shared" si="108"/>
        <v>20362</v>
      </c>
      <c r="E683" s="224">
        <f>(D683/C683-1)</f>
        <v>4.04384443893981</v>
      </c>
      <c r="F683" s="380"/>
      <c r="G683" s="360">
        <v>20362</v>
      </c>
    </row>
    <row r="684" s="181" customFormat="true" hidden="true" spans="1:6">
      <c r="A684" s="382">
        <v>2101302</v>
      </c>
      <c r="B684" s="385" t="s">
        <v>815</v>
      </c>
      <c r="C684" s="198"/>
      <c r="D684" s="380">
        <f t="shared" si="108"/>
        <v>0</v>
      </c>
      <c r="E684" s="395"/>
      <c r="F684" s="396"/>
    </row>
    <row r="685" s="181" customFormat="true" hidden="true" spans="1:6">
      <c r="A685" s="382">
        <v>2101399</v>
      </c>
      <c r="B685" s="385" t="s">
        <v>816</v>
      </c>
      <c r="C685" s="198"/>
      <c r="D685" s="380">
        <f t="shared" si="108"/>
        <v>0</v>
      </c>
      <c r="E685" s="395"/>
      <c r="F685" s="396"/>
    </row>
    <row r="686" s="181" customFormat="true" hidden="true" spans="1:8">
      <c r="A686" s="382">
        <v>21014</v>
      </c>
      <c r="B686" s="417" t="s">
        <v>817</v>
      </c>
      <c r="C686" s="400">
        <f t="shared" ref="C686:H686" si="117">SUM(C687:C688)</f>
        <v>0</v>
      </c>
      <c r="D686" s="380">
        <f t="shared" si="108"/>
        <v>0</v>
      </c>
      <c r="E686" s="395"/>
      <c r="F686" s="403">
        <f t="shared" si="117"/>
        <v>0</v>
      </c>
      <c r="G686" s="404">
        <f t="shared" si="117"/>
        <v>0</v>
      </c>
      <c r="H686" s="404">
        <f t="shared" si="117"/>
        <v>0</v>
      </c>
    </row>
    <row r="687" s="181" customFormat="true" hidden="true" spans="1:6">
      <c r="A687" s="382">
        <v>2101401</v>
      </c>
      <c r="B687" s="385" t="s">
        <v>818</v>
      </c>
      <c r="C687" s="198"/>
      <c r="D687" s="380">
        <f t="shared" si="108"/>
        <v>0</v>
      </c>
      <c r="E687" s="395"/>
      <c r="F687" s="396"/>
    </row>
    <row r="688" s="181" customFormat="true" hidden="true" spans="1:6">
      <c r="A688" s="382">
        <v>2101499</v>
      </c>
      <c r="B688" s="385" t="s">
        <v>819</v>
      </c>
      <c r="C688" s="198"/>
      <c r="D688" s="380">
        <f t="shared" si="108"/>
        <v>0</v>
      </c>
      <c r="E688" s="395"/>
      <c r="F688" s="396"/>
    </row>
    <row r="689" s="360" customFormat="true" spans="1:8">
      <c r="A689" s="377">
        <v>21015</v>
      </c>
      <c r="B689" s="386" t="s">
        <v>820</v>
      </c>
      <c r="C689" s="379">
        <f t="shared" ref="C689:H689" si="118">SUM(C690:C697)</f>
        <v>1890</v>
      </c>
      <c r="D689" s="380">
        <f t="shared" si="108"/>
        <v>1314</v>
      </c>
      <c r="E689" s="224">
        <f>(D689/C689-1)</f>
        <v>-0.304761904761905</v>
      </c>
      <c r="F689" s="397">
        <f t="shared" si="118"/>
        <v>524</v>
      </c>
      <c r="G689" s="402">
        <f t="shared" si="118"/>
        <v>0</v>
      </c>
      <c r="H689" s="402">
        <f t="shared" si="118"/>
        <v>790</v>
      </c>
    </row>
    <row r="690" s="360" customFormat="true" spans="1:6">
      <c r="A690" s="377">
        <v>2101501</v>
      </c>
      <c r="B690" s="386" t="s">
        <v>306</v>
      </c>
      <c r="C690" s="381">
        <v>134</v>
      </c>
      <c r="D690" s="380">
        <f t="shared" si="108"/>
        <v>153</v>
      </c>
      <c r="E690" s="224">
        <f>(D690/C690-1)</f>
        <v>0.141791044776119</v>
      </c>
      <c r="F690" s="380">
        <v>153</v>
      </c>
    </row>
    <row r="691" s="360" customFormat="true" spans="1:8">
      <c r="A691" s="377">
        <v>2101502</v>
      </c>
      <c r="B691" s="386" t="s">
        <v>307</v>
      </c>
      <c r="C691" s="381">
        <v>25</v>
      </c>
      <c r="D691" s="380">
        <f t="shared" si="108"/>
        <v>2</v>
      </c>
      <c r="E691" s="224">
        <f>(D691/C691-1)</f>
        <v>-0.92</v>
      </c>
      <c r="F691" s="380"/>
      <c r="H691" s="360">
        <v>2</v>
      </c>
    </row>
    <row r="692" s="181" customFormat="true" hidden="true" spans="1:6">
      <c r="A692" s="382">
        <v>2101503</v>
      </c>
      <c r="B692" s="385" t="s">
        <v>308</v>
      </c>
      <c r="C692" s="198">
        <v>0</v>
      </c>
      <c r="D692" s="380">
        <f t="shared" si="108"/>
        <v>0</v>
      </c>
      <c r="E692" s="395"/>
      <c r="F692" s="396"/>
    </row>
    <row r="693" s="360" customFormat="true" spans="1:6">
      <c r="A693" s="377">
        <v>2101504</v>
      </c>
      <c r="B693" s="386" t="s">
        <v>347</v>
      </c>
      <c r="C693" s="381">
        <v>1</v>
      </c>
      <c r="D693" s="380">
        <f t="shared" si="108"/>
        <v>2</v>
      </c>
      <c r="E693" s="224">
        <f>(D693/C693-1)</f>
        <v>1</v>
      </c>
      <c r="F693" s="380">
        <v>2</v>
      </c>
    </row>
    <row r="694" s="360" customFormat="true" spans="1:8">
      <c r="A694" s="377">
        <v>2101505</v>
      </c>
      <c r="B694" s="386" t="s">
        <v>821</v>
      </c>
      <c r="C694" s="381">
        <v>461</v>
      </c>
      <c r="D694" s="380">
        <f t="shared" si="108"/>
        <v>771</v>
      </c>
      <c r="E694" s="224">
        <f>(D694/C694-1)</f>
        <v>0.672451193058568</v>
      </c>
      <c r="F694" s="380"/>
      <c r="H694" s="360">
        <v>771</v>
      </c>
    </row>
    <row r="695" s="360" customFormat="true" hidden="true" spans="1:6">
      <c r="A695" s="377">
        <v>2101506</v>
      </c>
      <c r="B695" s="386" t="s">
        <v>822</v>
      </c>
      <c r="C695" s="381">
        <v>26</v>
      </c>
      <c r="D695" s="380">
        <f t="shared" si="108"/>
        <v>0</v>
      </c>
      <c r="E695" s="224">
        <f>(D695/C695-1)</f>
        <v>-1</v>
      </c>
      <c r="F695" s="380"/>
    </row>
    <row r="696" s="360" customFormat="true" spans="1:8">
      <c r="A696" s="377">
        <v>2101550</v>
      </c>
      <c r="B696" s="386" t="s">
        <v>315</v>
      </c>
      <c r="C696" s="381">
        <v>335</v>
      </c>
      <c r="D696" s="380">
        <f t="shared" si="108"/>
        <v>365</v>
      </c>
      <c r="E696" s="224">
        <f>(D696/C696-1)</f>
        <v>0.0895522388059702</v>
      </c>
      <c r="F696" s="380">
        <v>362</v>
      </c>
      <c r="H696" s="360">
        <v>3</v>
      </c>
    </row>
    <row r="697" s="360" customFormat="true" spans="1:8">
      <c r="A697" s="377">
        <v>2101599</v>
      </c>
      <c r="B697" s="386" t="s">
        <v>823</v>
      </c>
      <c r="C697" s="381">
        <f>43+865</f>
        <v>908</v>
      </c>
      <c r="D697" s="380">
        <f t="shared" si="108"/>
        <v>21</v>
      </c>
      <c r="E697" s="224">
        <f>(D697/C697-1)</f>
        <v>-0.976872246696035</v>
      </c>
      <c r="F697" s="380">
        <v>7</v>
      </c>
      <c r="H697" s="360">
        <v>14</v>
      </c>
    </row>
    <row r="698" s="181" customFormat="true" hidden="true" spans="1:8">
      <c r="A698" s="382">
        <v>21016</v>
      </c>
      <c r="B698" s="417" t="s">
        <v>824</v>
      </c>
      <c r="C698" s="400"/>
      <c r="D698" s="380">
        <f t="shared" si="108"/>
        <v>0</v>
      </c>
      <c r="E698" s="395"/>
      <c r="F698" s="403"/>
      <c r="G698" s="404"/>
      <c r="H698" s="404"/>
    </row>
    <row r="699" s="360" customFormat="true" spans="1:8">
      <c r="A699" s="377">
        <v>21099</v>
      </c>
      <c r="B699" s="424" t="s">
        <v>825</v>
      </c>
      <c r="C699" s="381">
        <v>418</v>
      </c>
      <c r="D699" s="380">
        <f t="shared" si="108"/>
        <v>7795</v>
      </c>
      <c r="E699" s="224">
        <f>(D699/C699-1)</f>
        <v>17.6483253588517</v>
      </c>
      <c r="F699" s="380">
        <v>700</v>
      </c>
      <c r="G699" s="402"/>
      <c r="H699" s="402">
        <v>7095</v>
      </c>
    </row>
    <row r="700" s="362" customFormat="true" spans="1:8">
      <c r="A700" s="373">
        <v>211</v>
      </c>
      <c r="B700" s="425" t="s">
        <v>826</v>
      </c>
      <c r="C700" s="375">
        <f t="shared" ref="C700:H700" si="119">SUM(C701,C711,C715,C724,C731,C738,C744,C747,C750,C751,C752,C758,C759,C760,C771)</f>
        <v>37665</v>
      </c>
      <c r="D700" s="376">
        <f t="shared" si="108"/>
        <v>20477</v>
      </c>
      <c r="E700" s="224">
        <f>(D700/C700-1)</f>
        <v>-0.456338776052038</v>
      </c>
      <c r="F700" s="415">
        <f t="shared" si="119"/>
        <v>4422</v>
      </c>
      <c r="G700" s="362">
        <f t="shared" si="119"/>
        <v>3371</v>
      </c>
      <c r="H700" s="362">
        <f t="shared" si="119"/>
        <v>12684</v>
      </c>
    </row>
    <row r="701" s="360" customFormat="true" spans="1:8">
      <c r="A701" s="377">
        <v>21101</v>
      </c>
      <c r="B701" s="424" t="s">
        <v>827</v>
      </c>
      <c r="C701" s="379">
        <f t="shared" ref="C701:H701" si="120">SUM(C702:C710)</f>
        <v>1799</v>
      </c>
      <c r="D701" s="380">
        <f t="shared" si="108"/>
        <v>1804</v>
      </c>
      <c r="E701" s="224">
        <f>(D701/C701-1)</f>
        <v>0.0027793218454697</v>
      </c>
      <c r="F701" s="397">
        <f t="shared" si="120"/>
        <v>1652</v>
      </c>
      <c r="G701" s="402">
        <f t="shared" si="120"/>
        <v>0</v>
      </c>
      <c r="H701" s="402">
        <f t="shared" si="120"/>
        <v>152</v>
      </c>
    </row>
    <row r="702" s="360" customFormat="true" spans="1:8">
      <c r="A702" s="377">
        <v>2110101</v>
      </c>
      <c r="B702" s="424" t="s">
        <v>306</v>
      </c>
      <c r="C702" s="381">
        <v>1491</v>
      </c>
      <c r="D702" s="380">
        <f t="shared" si="108"/>
        <v>1565</v>
      </c>
      <c r="E702" s="224">
        <f>(D702/C702-1)</f>
        <v>0.0496311200536552</v>
      </c>
      <c r="F702" s="380">
        <v>1563</v>
      </c>
      <c r="H702" s="360">
        <v>2</v>
      </c>
    </row>
    <row r="703" s="360" customFormat="true" spans="1:8">
      <c r="A703" s="377">
        <v>2110102</v>
      </c>
      <c r="B703" s="424" t="s">
        <v>307</v>
      </c>
      <c r="C703" s="381">
        <v>308</v>
      </c>
      <c r="D703" s="380">
        <f t="shared" si="108"/>
        <v>239</v>
      </c>
      <c r="E703" s="224">
        <f>(D703/C703-1)</f>
        <v>-0.224025974025974</v>
      </c>
      <c r="F703" s="380">
        <v>89</v>
      </c>
      <c r="H703" s="360">
        <v>150</v>
      </c>
    </row>
    <row r="704" s="181" customFormat="true" hidden="true" spans="1:6">
      <c r="A704" s="382">
        <v>2110103</v>
      </c>
      <c r="B704" s="426" t="s">
        <v>308</v>
      </c>
      <c r="C704" s="198"/>
      <c r="D704" s="380">
        <f t="shared" si="108"/>
        <v>0</v>
      </c>
      <c r="E704" s="395"/>
      <c r="F704" s="396"/>
    </row>
    <row r="705" s="181" customFormat="true" hidden="true" spans="1:6">
      <c r="A705" s="382">
        <v>2110104</v>
      </c>
      <c r="B705" s="426" t="s">
        <v>828</v>
      </c>
      <c r="C705" s="198"/>
      <c r="D705" s="380">
        <f t="shared" si="108"/>
        <v>0</v>
      </c>
      <c r="E705" s="395"/>
      <c r="F705" s="396"/>
    </row>
    <row r="706" s="181" customFormat="true" hidden="true" spans="1:6">
      <c r="A706" s="382">
        <v>2110105</v>
      </c>
      <c r="B706" s="426" t="s">
        <v>829</v>
      </c>
      <c r="C706" s="198"/>
      <c r="D706" s="380">
        <f t="shared" si="108"/>
        <v>0</v>
      </c>
      <c r="E706" s="395"/>
      <c r="F706" s="396"/>
    </row>
    <row r="707" s="181" customFormat="true" hidden="true" spans="1:6">
      <c r="A707" s="382">
        <v>2110106</v>
      </c>
      <c r="B707" s="426" t="s">
        <v>830</v>
      </c>
      <c r="C707" s="198"/>
      <c r="D707" s="380">
        <f t="shared" si="108"/>
        <v>0</v>
      </c>
      <c r="E707" s="395"/>
      <c r="F707" s="396"/>
    </row>
    <row r="708" s="181" customFormat="true" hidden="true" spans="1:6">
      <c r="A708" s="382">
        <v>2110107</v>
      </c>
      <c r="B708" s="426" t="s">
        <v>831</v>
      </c>
      <c r="C708" s="198"/>
      <c r="D708" s="380">
        <f t="shared" si="108"/>
        <v>0</v>
      </c>
      <c r="E708" s="395"/>
      <c r="F708" s="396"/>
    </row>
    <row r="709" s="181" customFormat="true" hidden="true" spans="1:6">
      <c r="A709" s="382">
        <v>2110108</v>
      </c>
      <c r="B709" s="426" t="s">
        <v>832</v>
      </c>
      <c r="C709" s="198"/>
      <c r="D709" s="380">
        <f t="shared" si="108"/>
        <v>0</v>
      </c>
      <c r="E709" s="395"/>
      <c r="F709" s="396"/>
    </row>
    <row r="710" s="181" customFormat="true" hidden="true" spans="1:6">
      <c r="A710" s="382">
        <v>2110199</v>
      </c>
      <c r="B710" s="426" t="s">
        <v>833</v>
      </c>
      <c r="C710" s="198"/>
      <c r="D710" s="380">
        <f t="shared" si="108"/>
        <v>0</v>
      </c>
      <c r="E710" s="395"/>
      <c r="F710" s="396"/>
    </row>
    <row r="711" s="181" customFormat="true" hidden="true" spans="1:8">
      <c r="A711" s="382">
        <v>21102</v>
      </c>
      <c r="B711" s="429" t="s">
        <v>834</v>
      </c>
      <c r="C711" s="430">
        <f t="shared" ref="C711:H711" si="121">SUM(C712:C714)</f>
        <v>0</v>
      </c>
      <c r="D711" s="380">
        <f t="shared" si="108"/>
        <v>0</v>
      </c>
      <c r="E711" s="395"/>
      <c r="F711" s="432">
        <f t="shared" si="121"/>
        <v>0</v>
      </c>
      <c r="G711" s="404">
        <f t="shared" si="121"/>
        <v>0</v>
      </c>
      <c r="H711" s="404">
        <f t="shared" si="121"/>
        <v>0</v>
      </c>
    </row>
    <row r="712" s="181" customFormat="true" hidden="true" spans="1:6">
      <c r="A712" s="382">
        <v>2110203</v>
      </c>
      <c r="B712" s="426" t="s">
        <v>835</v>
      </c>
      <c r="C712" s="198"/>
      <c r="D712" s="380">
        <f t="shared" si="108"/>
        <v>0</v>
      </c>
      <c r="E712" s="395"/>
      <c r="F712" s="396"/>
    </row>
    <row r="713" s="181" customFormat="true" hidden="true" spans="1:6">
      <c r="A713" s="382">
        <v>2110204</v>
      </c>
      <c r="B713" s="426" t="s">
        <v>836</v>
      </c>
      <c r="C713" s="198"/>
      <c r="D713" s="380">
        <f t="shared" si="108"/>
        <v>0</v>
      </c>
      <c r="E713" s="395"/>
      <c r="F713" s="396"/>
    </row>
    <row r="714" s="181" customFormat="true" hidden="true" spans="1:6">
      <c r="A714" s="382">
        <v>2110299</v>
      </c>
      <c r="B714" s="426" t="s">
        <v>837</v>
      </c>
      <c r="C714" s="198"/>
      <c r="D714" s="380">
        <f t="shared" ref="D714:D777" si="122">F714+G714+H714</f>
        <v>0</v>
      </c>
      <c r="E714" s="395"/>
      <c r="F714" s="396"/>
    </row>
    <row r="715" s="360" customFormat="true" spans="1:8">
      <c r="A715" s="377">
        <v>21103</v>
      </c>
      <c r="B715" s="424" t="s">
        <v>838</v>
      </c>
      <c r="C715" s="431">
        <f t="shared" ref="C715:H715" si="123">SUM(C716:C723)</f>
        <v>25301</v>
      </c>
      <c r="D715" s="380">
        <f t="shared" si="122"/>
        <v>10004</v>
      </c>
      <c r="E715" s="224">
        <f>(D715/C715-1)</f>
        <v>-0.604600608671594</v>
      </c>
      <c r="F715" s="433">
        <f t="shared" si="123"/>
        <v>0</v>
      </c>
      <c r="G715" s="402">
        <f t="shared" si="123"/>
        <v>0</v>
      </c>
      <c r="H715" s="402">
        <f t="shared" si="123"/>
        <v>10004</v>
      </c>
    </row>
    <row r="716" s="360" customFormat="true" spans="1:8">
      <c r="A716" s="377">
        <v>2110301</v>
      </c>
      <c r="B716" s="424" t="s">
        <v>839</v>
      </c>
      <c r="C716" s="381">
        <f>360+24000</f>
        <v>24360</v>
      </c>
      <c r="D716" s="380">
        <f t="shared" si="122"/>
        <v>6711</v>
      </c>
      <c r="E716" s="224">
        <f>(D716/C716-1)</f>
        <v>-0.724507389162562</v>
      </c>
      <c r="F716" s="380"/>
      <c r="H716" s="360">
        <f>4719+1992</f>
        <v>6711</v>
      </c>
    </row>
    <row r="717" s="360" customFormat="true" spans="1:8">
      <c r="A717" s="377">
        <v>2110302</v>
      </c>
      <c r="B717" s="424" t="s">
        <v>840</v>
      </c>
      <c r="C717" s="381">
        <v>941</v>
      </c>
      <c r="D717" s="380">
        <f t="shared" si="122"/>
        <v>3293</v>
      </c>
      <c r="E717" s="224">
        <f>(D717/C717-1)</f>
        <v>2.49946865037194</v>
      </c>
      <c r="F717" s="380"/>
      <c r="H717" s="360">
        <v>3293</v>
      </c>
    </row>
    <row r="718" s="181" customFormat="true" hidden="true" spans="1:6">
      <c r="A718" s="382">
        <v>2110303</v>
      </c>
      <c r="B718" s="426" t="s">
        <v>841</v>
      </c>
      <c r="C718" s="198">
        <v>0</v>
      </c>
      <c r="D718" s="380">
        <f t="shared" si="122"/>
        <v>0</v>
      </c>
      <c r="E718" s="395"/>
      <c r="F718" s="396"/>
    </row>
    <row r="719" s="181" customFormat="true" hidden="true" spans="1:6">
      <c r="A719" s="382">
        <v>2110304</v>
      </c>
      <c r="B719" s="426" t="s">
        <v>842</v>
      </c>
      <c r="C719" s="198"/>
      <c r="D719" s="380">
        <f t="shared" si="122"/>
        <v>0</v>
      </c>
      <c r="E719" s="395" t="e">
        <f>(C719/#REF!-1)</f>
        <v>#REF!</v>
      </c>
      <c r="F719" s="396"/>
    </row>
    <row r="720" s="181" customFormat="true" hidden="true" spans="1:6">
      <c r="A720" s="382">
        <v>2110305</v>
      </c>
      <c r="B720" s="426" t="s">
        <v>843</v>
      </c>
      <c r="C720" s="198"/>
      <c r="D720" s="380">
        <f t="shared" si="122"/>
        <v>0</v>
      </c>
      <c r="E720" s="395"/>
      <c r="F720" s="396"/>
    </row>
    <row r="721" s="181" customFormat="true" hidden="true" spans="1:6">
      <c r="A721" s="382">
        <v>2110306</v>
      </c>
      <c r="B721" s="426" t="s">
        <v>844</v>
      </c>
      <c r="C721" s="198"/>
      <c r="D721" s="380">
        <f t="shared" si="122"/>
        <v>0</v>
      </c>
      <c r="E721" s="395"/>
      <c r="F721" s="396"/>
    </row>
    <row r="722" s="181" customFormat="true" hidden="true" spans="1:6">
      <c r="A722" s="382">
        <v>2110307</v>
      </c>
      <c r="B722" s="426" t="s">
        <v>845</v>
      </c>
      <c r="C722" s="198"/>
      <c r="D722" s="380">
        <f t="shared" si="122"/>
        <v>0</v>
      </c>
      <c r="E722" s="395"/>
      <c r="F722" s="396"/>
    </row>
    <row r="723" s="181" customFormat="true" hidden="true" spans="1:6">
      <c r="A723" s="382">
        <v>2110399</v>
      </c>
      <c r="B723" s="426" t="s">
        <v>846</v>
      </c>
      <c r="C723" s="198"/>
      <c r="D723" s="380">
        <f t="shared" si="122"/>
        <v>0</v>
      </c>
      <c r="E723" s="395"/>
      <c r="F723" s="396"/>
    </row>
    <row r="724" s="360" customFormat="true" spans="1:8">
      <c r="A724" s="377">
        <v>21104</v>
      </c>
      <c r="B724" s="424" t="s">
        <v>847</v>
      </c>
      <c r="C724" s="431">
        <f t="shared" ref="C724:H724" si="124">SUM(C725:C730)</f>
        <v>2013</v>
      </c>
      <c r="D724" s="380">
        <f t="shared" si="122"/>
        <v>2899</v>
      </c>
      <c r="E724" s="224">
        <f>(D724/C724-1)</f>
        <v>0.440139095876801</v>
      </c>
      <c r="F724" s="433">
        <f t="shared" si="124"/>
        <v>0</v>
      </c>
      <c r="G724" s="402">
        <f t="shared" si="124"/>
        <v>1435</v>
      </c>
      <c r="H724" s="402">
        <f t="shared" si="124"/>
        <v>1464</v>
      </c>
    </row>
    <row r="725" s="181" customFormat="true" hidden="true" spans="1:6">
      <c r="A725" s="382">
        <v>2110401</v>
      </c>
      <c r="B725" s="426" t="s">
        <v>848</v>
      </c>
      <c r="C725" s="198">
        <v>0</v>
      </c>
      <c r="D725" s="380">
        <f t="shared" si="122"/>
        <v>0</v>
      </c>
      <c r="E725" s="395"/>
      <c r="F725" s="396"/>
    </row>
    <row r="726" s="181" customFormat="true" hidden="true" spans="1:6">
      <c r="A726" s="382">
        <v>2110402</v>
      </c>
      <c r="B726" s="426" t="s">
        <v>849</v>
      </c>
      <c r="C726" s="198">
        <v>0</v>
      </c>
      <c r="D726" s="380">
        <f t="shared" si="122"/>
        <v>0</v>
      </c>
      <c r="E726" s="395"/>
      <c r="F726" s="396"/>
    </row>
    <row r="727" s="181" customFormat="true" hidden="true" spans="1:6">
      <c r="A727" s="382">
        <v>2110404</v>
      </c>
      <c r="B727" s="426" t="s">
        <v>850</v>
      </c>
      <c r="C727" s="198">
        <v>0</v>
      </c>
      <c r="D727" s="380">
        <f t="shared" si="122"/>
        <v>0</v>
      </c>
      <c r="E727" s="395"/>
      <c r="F727" s="396"/>
    </row>
    <row r="728" s="181" customFormat="true" hidden="true" spans="1:6">
      <c r="A728" s="382">
        <v>2110405</v>
      </c>
      <c r="B728" s="426" t="s">
        <v>851</v>
      </c>
      <c r="C728" s="198">
        <v>0</v>
      </c>
      <c r="D728" s="380">
        <f t="shared" si="122"/>
        <v>0</v>
      </c>
      <c r="E728" s="395"/>
      <c r="F728" s="396"/>
    </row>
    <row r="729" s="360" customFormat="true" spans="1:9">
      <c r="A729" s="377">
        <v>2110406</v>
      </c>
      <c r="B729" s="424" t="s">
        <v>852</v>
      </c>
      <c r="C729" s="381">
        <f>372+710</f>
        <v>1082</v>
      </c>
      <c r="D729" s="380">
        <f t="shared" si="122"/>
        <v>1399</v>
      </c>
      <c r="E729" s="224">
        <f>(D729/C729-1)</f>
        <v>0.292975970425139</v>
      </c>
      <c r="F729" s="380"/>
      <c r="G729" s="360">
        <v>535</v>
      </c>
      <c r="H729" s="360">
        <v>864</v>
      </c>
      <c r="I729" s="360" t="s">
        <v>853</v>
      </c>
    </row>
    <row r="730" s="360" customFormat="true" spans="1:9">
      <c r="A730" s="377">
        <v>2110499</v>
      </c>
      <c r="B730" s="424" t="s">
        <v>854</v>
      </c>
      <c r="C730" s="381">
        <v>931</v>
      </c>
      <c r="D730" s="380">
        <f t="shared" si="122"/>
        <v>1500</v>
      </c>
      <c r="E730" s="224">
        <f>(D730/C730-1)</f>
        <v>0.611170784103115</v>
      </c>
      <c r="F730" s="380"/>
      <c r="G730" s="360">
        <v>900</v>
      </c>
      <c r="H730" s="360">
        <v>600</v>
      </c>
      <c r="I730" s="360" t="s">
        <v>855</v>
      </c>
    </row>
    <row r="731" s="360" customFormat="true" spans="1:8">
      <c r="A731" s="377">
        <v>21105</v>
      </c>
      <c r="B731" s="424" t="s">
        <v>856</v>
      </c>
      <c r="C731" s="379">
        <f t="shared" ref="C731:H731" si="125">SUM(C732:C737)</f>
        <v>1707</v>
      </c>
      <c r="D731" s="380">
        <f t="shared" si="122"/>
        <v>2209</v>
      </c>
      <c r="E731" s="224">
        <f>(D731/C731-1)</f>
        <v>0.294083186877563</v>
      </c>
      <c r="F731" s="397">
        <f t="shared" si="125"/>
        <v>0</v>
      </c>
      <c r="G731" s="402">
        <f t="shared" si="125"/>
        <v>1936</v>
      </c>
      <c r="H731" s="402">
        <f t="shared" si="125"/>
        <v>273</v>
      </c>
    </row>
    <row r="732" s="360" customFormat="true" spans="1:8">
      <c r="A732" s="377">
        <v>2110501</v>
      </c>
      <c r="B732" s="424" t="s">
        <v>857</v>
      </c>
      <c r="C732" s="423">
        <v>801</v>
      </c>
      <c r="D732" s="380">
        <f t="shared" si="122"/>
        <v>986</v>
      </c>
      <c r="E732" s="224">
        <f>(D732/C732-1)</f>
        <v>0.230961298377029</v>
      </c>
      <c r="F732" s="427"/>
      <c r="G732" s="360">
        <v>854</v>
      </c>
      <c r="H732" s="360">
        <v>132</v>
      </c>
    </row>
    <row r="733" s="360" customFormat="true" spans="1:9">
      <c r="A733" s="377">
        <v>2110502</v>
      </c>
      <c r="B733" s="424" t="s">
        <v>858</v>
      </c>
      <c r="C733" s="423">
        <f>226+680</f>
        <v>906</v>
      </c>
      <c r="D733" s="380">
        <f t="shared" si="122"/>
        <v>1223</v>
      </c>
      <c r="E733" s="224">
        <f>(D733/C733-1)</f>
        <v>0.349889624724062</v>
      </c>
      <c r="F733" s="427"/>
      <c r="G733" s="360">
        <v>1082</v>
      </c>
      <c r="H733" s="360">
        <v>141</v>
      </c>
      <c r="I733" s="360" t="s">
        <v>853</v>
      </c>
    </row>
    <row r="734" s="181" customFormat="true" hidden="true" spans="1:6">
      <c r="A734" s="382">
        <v>2110503</v>
      </c>
      <c r="B734" s="426" t="s">
        <v>859</v>
      </c>
      <c r="C734" s="420"/>
      <c r="D734" s="380">
        <f t="shared" si="122"/>
        <v>0</v>
      </c>
      <c r="E734" s="395"/>
      <c r="F734" s="422"/>
    </row>
    <row r="735" s="181" customFormat="true" hidden="true" spans="1:6">
      <c r="A735" s="382">
        <v>2110506</v>
      </c>
      <c r="B735" s="426" t="s">
        <v>860</v>
      </c>
      <c r="C735" s="420"/>
      <c r="D735" s="380">
        <f t="shared" si="122"/>
        <v>0</v>
      </c>
      <c r="E735" s="395"/>
      <c r="F735" s="422"/>
    </row>
    <row r="736" s="181" customFormat="true" hidden="true" spans="1:6">
      <c r="A736" s="382">
        <v>2110507</v>
      </c>
      <c r="B736" s="426" t="s">
        <v>861</v>
      </c>
      <c r="C736" s="420"/>
      <c r="D736" s="380">
        <f t="shared" si="122"/>
        <v>0</v>
      </c>
      <c r="E736" s="395"/>
      <c r="F736" s="422"/>
    </row>
    <row r="737" s="181" customFormat="true" hidden="true" spans="1:6">
      <c r="A737" s="382">
        <v>2110599</v>
      </c>
      <c r="B737" s="426" t="s">
        <v>862</v>
      </c>
      <c r="C737" s="420"/>
      <c r="D737" s="380">
        <f t="shared" si="122"/>
        <v>0</v>
      </c>
      <c r="E737" s="395"/>
      <c r="F737" s="422"/>
    </row>
    <row r="738" s="181" customFormat="true" hidden="true" spans="1:8">
      <c r="A738" s="382">
        <v>21106</v>
      </c>
      <c r="B738" s="429" t="s">
        <v>863</v>
      </c>
      <c r="C738" s="400">
        <f t="shared" ref="C738:H738" si="126">SUM(C739:C743)</f>
        <v>0</v>
      </c>
      <c r="D738" s="380">
        <f t="shared" si="122"/>
        <v>0</v>
      </c>
      <c r="E738" s="395"/>
      <c r="F738" s="403">
        <f t="shared" si="126"/>
        <v>0</v>
      </c>
      <c r="G738" s="404">
        <f t="shared" si="126"/>
        <v>0</v>
      </c>
      <c r="H738" s="404">
        <f t="shared" si="126"/>
        <v>0</v>
      </c>
    </row>
    <row r="739" s="181" customFormat="true" hidden="true" spans="1:6">
      <c r="A739" s="382">
        <v>2110602</v>
      </c>
      <c r="B739" s="426" t="s">
        <v>864</v>
      </c>
      <c r="C739" s="420"/>
      <c r="D739" s="380">
        <f t="shared" si="122"/>
        <v>0</v>
      </c>
      <c r="E739" s="395"/>
      <c r="F739" s="422"/>
    </row>
    <row r="740" s="181" customFormat="true" hidden="true" spans="1:6">
      <c r="A740" s="382">
        <v>2110603</v>
      </c>
      <c r="B740" s="426" t="s">
        <v>865</v>
      </c>
      <c r="C740" s="420"/>
      <c r="D740" s="380">
        <f t="shared" si="122"/>
        <v>0</v>
      </c>
      <c r="E740" s="395"/>
      <c r="F740" s="422"/>
    </row>
    <row r="741" s="181" customFormat="true" hidden="true" spans="1:6">
      <c r="A741" s="382">
        <v>2110604</v>
      </c>
      <c r="B741" s="426" t="s">
        <v>866</v>
      </c>
      <c r="C741" s="420"/>
      <c r="D741" s="380">
        <f t="shared" si="122"/>
        <v>0</v>
      </c>
      <c r="E741" s="395"/>
      <c r="F741" s="422"/>
    </row>
    <row r="742" s="181" customFormat="true" hidden="true" spans="1:6">
      <c r="A742" s="382">
        <v>2110605</v>
      </c>
      <c r="B742" s="426" t="s">
        <v>867</v>
      </c>
      <c r="C742" s="420"/>
      <c r="D742" s="380">
        <f t="shared" si="122"/>
        <v>0</v>
      </c>
      <c r="E742" s="395"/>
      <c r="F742" s="422"/>
    </row>
    <row r="743" s="181" customFormat="true" hidden="true" spans="1:6">
      <c r="A743" s="382">
        <v>2110699</v>
      </c>
      <c r="B743" s="426" t="s">
        <v>868</v>
      </c>
      <c r="C743" s="420"/>
      <c r="D743" s="380">
        <f t="shared" si="122"/>
        <v>0</v>
      </c>
      <c r="E743" s="395"/>
      <c r="F743" s="422"/>
    </row>
    <row r="744" s="181" customFormat="true" hidden="true" spans="1:8">
      <c r="A744" s="382">
        <v>21107</v>
      </c>
      <c r="B744" s="429" t="s">
        <v>869</v>
      </c>
      <c r="C744" s="400">
        <f t="shared" ref="C744:H744" si="127">SUM(C745:C746)</f>
        <v>0</v>
      </c>
      <c r="D744" s="380">
        <f t="shared" si="122"/>
        <v>0</v>
      </c>
      <c r="E744" s="395"/>
      <c r="F744" s="403">
        <f t="shared" si="127"/>
        <v>0</v>
      </c>
      <c r="G744" s="404">
        <f t="shared" si="127"/>
        <v>0</v>
      </c>
      <c r="H744" s="404">
        <f t="shared" si="127"/>
        <v>0</v>
      </c>
    </row>
    <row r="745" s="181" customFormat="true" hidden="true" spans="1:6">
      <c r="A745" s="382">
        <v>2110704</v>
      </c>
      <c r="B745" s="426" t="s">
        <v>870</v>
      </c>
      <c r="C745" s="420"/>
      <c r="D745" s="380">
        <f t="shared" si="122"/>
        <v>0</v>
      </c>
      <c r="E745" s="395"/>
      <c r="F745" s="422"/>
    </row>
    <row r="746" s="181" customFormat="true" hidden="true" spans="1:6">
      <c r="A746" s="382">
        <v>2110799</v>
      </c>
      <c r="B746" s="426" t="s">
        <v>871</v>
      </c>
      <c r="C746" s="420"/>
      <c r="D746" s="380">
        <f t="shared" si="122"/>
        <v>0</v>
      </c>
      <c r="E746" s="395"/>
      <c r="F746" s="422"/>
    </row>
    <row r="747" s="181" customFormat="true" hidden="true" spans="1:8">
      <c r="A747" s="382">
        <v>21108</v>
      </c>
      <c r="B747" s="429" t="s">
        <v>872</v>
      </c>
      <c r="C747" s="400">
        <f t="shared" ref="C747:H747" si="128">SUM(C748:C749)</f>
        <v>0</v>
      </c>
      <c r="D747" s="380">
        <f t="shared" si="122"/>
        <v>0</v>
      </c>
      <c r="E747" s="395"/>
      <c r="F747" s="403">
        <f t="shared" si="128"/>
        <v>0</v>
      </c>
      <c r="G747" s="404">
        <f t="shared" si="128"/>
        <v>0</v>
      </c>
      <c r="H747" s="404">
        <f t="shared" si="128"/>
        <v>0</v>
      </c>
    </row>
    <row r="748" s="181" customFormat="true" hidden="true" spans="1:6">
      <c r="A748" s="382">
        <v>2110804</v>
      </c>
      <c r="B748" s="426" t="s">
        <v>873</v>
      </c>
      <c r="C748" s="420"/>
      <c r="D748" s="380">
        <f t="shared" si="122"/>
        <v>0</v>
      </c>
      <c r="E748" s="395"/>
      <c r="F748" s="422"/>
    </row>
    <row r="749" s="181" customFormat="true" hidden="true" spans="1:6">
      <c r="A749" s="382">
        <v>2110899</v>
      </c>
      <c r="B749" s="426" t="s">
        <v>874</v>
      </c>
      <c r="C749" s="420"/>
      <c r="D749" s="380">
        <f t="shared" si="122"/>
        <v>0</v>
      </c>
      <c r="E749" s="395"/>
      <c r="F749" s="422"/>
    </row>
    <row r="750" s="181" customFormat="true" hidden="true" spans="1:8">
      <c r="A750" s="382">
        <v>21109</v>
      </c>
      <c r="B750" s="429" t="s">
        <v>875</v>
      </c>
      <c r="C750" s="420"/>
      <c r="D750" s="380">
        <f t="shared" si="122"/>
        <v>0</v>
      </c>
      <c r="E750" s="395"/>
      <c r="F750" s="422"/>
      <c r="G750" s="404"/>
      <c r="H750" s="404"/>
    </row>
    <row r="751" s="360" customFormat="true" spans="1:8">
      <c r="A751" s="377">
        <v>21110</v>
      </c>
      <c r="B751" s="424" t="s">
        <v>876</v>
      </c>
      <c r="C751" s="381">
        <v>60</v>
      </c>
      <c r="D751" s="380">
        <f t="shared" si="122"/>
        <v>4</v>
      </c>
      <c r="E751" s="224">
        <f>(D751/C751-1)</f>
        <v>-0.933333333333333</v>
      </c>
      <c r="F751" s="380"/>
      <c r="G751" s="402"/>
      <c r="H751" s="402">
        <v>4</v>
      </c>
    </row>
    <row r="752" s="360" customFormat="true" spans="1:8">
      <c r="A752" s="377">
        <v>21111</v>
      </c>
      <c r="B752" s="424" t="s">
        <v>877</v>
      </c>
      <c r="C752" s="379">
        <f t="shared" ref="C752:H752" si="129">SUM(C753:C757)</f>
        <v>781</v>
      </c>
      <c r="D752" s="380">
        <f t="shared" si="122"/>
        <v>770</v>
      </c>
      <c r="E752" s="224">
        <f>(D752/C752-1)</f>
        <v>-0.0140845070422535</v>
      </c>
      <c r="F752" s="397">
        <f t="shared" si="129"/>
        <v>770</v>
      </c>
      <c r="G752" s="402">
        <f t="shared" si="129"/>
        <v>0</v>
      </c>
      <c r="H752" s="402">
        <f t="shared" si="129"/>
        <v>0</v>
      </c>
    </row>
    <row r="753" s="360" customFormat="true" spans="1:6">
      <c r="A753" s="377">
        <v>2111101</v>
      </c>
      <c r="B753" s="424" t="s">
        <v>878</v>
      </c>
      <c r="C753" s="381">
        <v>402</v>
      </c>
      <c r="D753" s="380">
        <f t="shared" si="122"/>
        <v>406</v>
      </c>
      <c r="E753" s="224">
        <f>(D753/C753-1)</f>
        <v>0.00995024875621886</v>
      </c>
      <c r="F753" s="380">
        <v>406</v>
      </c>
    </row>
    <row r="754" s="360" customFormat="true" spans="1:6">
      <c r="A754" s="377">
        <v>2111102</v>
      </c>
      <c r="B754" s="424" t="s">
        <v>879</v>
      </c>
      <c r="C754" s="381">
        <v>379</v>
      </c>
      <c r="D754" s="380">
        <f t="shared" si="122"/>
        <v>364</v>
      </c>
      <c r="E754" s="224">
        <f>(D754/C754-1)</f>
        <v>-0.0395778364116095</v>
      </c>
      <c r="F754" s="380">
        <v>364</v>
      </c>
    </row>
    <row r="755" s="181" customFormat="true" hidden="true" spans="1:6">
      <c r="A755" s="382">
        <v>2111103</v>
      </c>
      <c r="B755" s="426" t="s">
        <v>880</v>
      </c>
      <c r="C755" s="198"/>
      <c r="D755" s="380">
        <f t="shared" si="122"/>
        <v>0</v>
      </c>
      <c r="E755" s="395"/>
      <c r="F755" s="396"/>
    </row>
    <row r="756" s="181" customFormat="true" hidden="true" spans="1:6">
      <c r="A756" s="382">
        <v>2111104</v>
      </c>
      <c r="B756" s="426" t="s">
        <v>881</v>
      </c>
      <c r="C756" s="198"/>
      <c r="D756" s="380">
        <f t="shared" si="122"/>
        <v>0</v>
      </c>
      <c r="E756" s="395"/>
      <c r="F756" s="396"/>
    </row>
    <row r="757" s="181" customFormat="true" hidden="true" spans="1:6">
      <c r="A757" s="382">
        <v>2111199</v>
      </c>
      <c r="B757" s="426" t="s">
        <v>882</v>
      </c>
      <c r="C757" s="198"/>
      <c r="D757" s="380">
        <f t="shared" si="122"/>
        <v>0</v>
      </c>
      <c r="E757" s="395"/>
      <c r="F757" s="396"/>
    </row>
    <row r="758" s="181" customFormat="true" hidden="true" spans="1:8">
      <c r="A758" s="382">
        <v>21112</v>
      </c>
      <c r="B758" s="429" t="s">
        <v>883</v>
      </c>
      <c r="C758" s="198"/>
      <c r="D758" s="380">
        <f t="shared" si="122"/>
        <v>0</v>
      </c>
      <c r="E758" s="395"/>
      <c r="F758" s="396"/>
      <c r="G758" s="404"/>
      <c r="H758" s="404"/>
    </row>
    <row r="759" s="181" customFormat="true" hidden="true" spans="1:8">
      <c r="A759" s="382">
        <v>21113</v>
      </c>
      <c r="B759" s="429" t="s">
        <v>884</v>
      </c>
      <c r="C759" s="198"/>
      <c r="D759" s="380">
        <f t="shared" si="122"/>
        <v>0</v>
      </c>
      <c r="E759" s="395"/>
      <c r="F759" s="396"/>
      <c r="G759" s="404"/>
      <c r="H759" s="404"/>
    </row>
    <row r="760" s="181" customFormat="true" hidden="true" spans="1:8">
      <c r="A760" s="382">
        <v>21114</v>
      </c>
      <c r="B760" s="429" t="s">
        <v>885</v>
      </c>
      <c r="C760" s="400">
        <f t="shared" ref="C760:H760" si="130">SUM(C761:C770)</f>
        <v>0</v>
      </c>
      <c r="D760" s="380">
        <f t="shared" si="122"/>
        <v>0</v>
      </c>
      <c r="E760" s="395"/>
      <c r="F760" s="403">
        <f t="shared" si="130"/>
        <v>0</v>
      </c>
      <c r="G760" s="404">
        <f t="shared" si="130"/>
        <v>0</v>
      </c>
      <c r="H760" s="404">
        <f t="shared" si="130"/>
        <v>0</v>
      </c>
    </row>
    <row r="761" s="181" customFormat="true" hidden="true" spans="1:6">
      <c r="A761" s="382">
        <v>2111401</v>
      </c>
      <c r="B761" s="426" t="s">
        <v>306</v>
      </c>
      <c r="C761" s="198"/>
      <c r="D761" s="380">
        <f t="shared" si="122"/>
        <v>0</v>
      </c>
      <c r="E761" s="395"/>
      <c r="F761" s="396"/>
    </row>
    <row r="762" s="181" customFormat="true" hidden="true" spans="1:6">
      <c r="A762" s="382">
        <v>2111402</v>
      </c>
      <c r="B762" s="426" t="s">
        <v>307</v>
      </c>
      <c r="C762" s="198"/>
      <c r="D762" s="380">
        <f t="shared" si="122"/>
        <v>0</v>
      </c>
      <c r="E762" s="395"/>
      <c r="F762" s="396"/>
    </row>
    <row r="763" s="181" customFormat="true" hidden="true" spans="1:6">
      <c r="A763" s="382">
        <v>2111403</v>
      </c>
      <c r="B763" s="426" t="s">
        <v>308</v>
      </c>
      <c r="C763" s="198"/>
      <c r="D763" s="380">
        <f t="shared" si="122"/>
        <v>0</v>
      </c>
      <c r="E763" s="395"/>
      <c r="F763" s="396"/>
    </row>
    <row r="764" s="181" customFormat="true" hidden="true" spans="1:6">
      <c r="A764" s="382">
        <v>2111406</v>
      </c>
      <c r="B764" s="426" t="s">
        <v>886</v>
      </c>
      <c r="C764" s="198"/>
      <c r="D764" s="380">
        <f t="shared" si="122"/>
        <v>0</v>
      </c>
      <c r="E764" s="395"/>
      <c r="F764" s="396"/>
    </row>
    <row r="765" s="181" customFormat="true" hidden="true" spans="1:6">
      <c r="A765" s="382">
        <v>2111407</v>
      </c>
      <c r="B765" s="426" t="s">
        <v>887</v>
      </c>
      <c r="C765" s="198"/>
      <c r="D765" s="380">
        <f t="shared" si="122"/>
        <v>0</v>
      </c>
      <c r="E765" s="395"/>
      <c r="F765" s="396"/>
    </row>
    <row r="766" s="181" customFormat="true" hidden="true" spans="1:6">
      <c r="A766" s="382">
        <v>2111408</v>
      </c>
      <c r="B766" s="426" t="s">
        <v>888</v>
      </c>
      <c r="C766" s="198"/>
      <c r="D766" s="380">
        <f t="shared" si="122"/>
        <v>0</v>
      </c>
      <c r="E766" s="395"/>
      <c r="F766" s="396"/>
    </row>
    <row r="767" s="181" customFormat="true" hidden="true" spans="1:6">
      <c r="A767" s="382">
        <v>2111411</v>
      </c>
      <c r="B767" s="426" t="s">
        <v>347</v>
      </c>
      <c r="C767" s="198"/>
      <c r="D767" s="380">
        <f t="shared" si="122"/>
        <v>0</v>
      </c>
      <c r="E767" s="395"/>
      <c r="F767" s="396"/>
    </row>
    <row r="768" s="181" customFormat="true" hidden="true" spans="1:6">
      <c r="A768" s="382">
        <v>2111413</v>
      </c>
      <c r="B768" s="426" t="s">
        <v>889</v>
      </c>
      <c r="C768" s="198"/>
      <c r="D768" s="380">
        <f t="shared" si="122"/>
        <v>0</v>
      </c>
      <c r="E768" s="395"/>
      <c r="F768" s="396"/>
    </row>
    <row r="769" s="181" customFormat="true" hidden="true" spans="1:6">
      <c r="A769" s="382">
        <v>2111450</v>
      </c>
      <c r="B769" s="426" t="s">
        <v>315</v>
      </c>
      <c r="C769" s="198"/>
      <c r="D769" s="380">
        <f t="shared" si="122"/>
        <v>0</v>
      </c>
      <c r="E769" s="395"/>
      <c r="F769" s="396"/>
    </row>
    <row r="770" s="181" customFormat="true" hidden="true" spans="1:6">
      <c r="A770" s="382">
        <v>2111499</v>
      </c>
      <c r="B770" s="426" t="s">
        <v>890</v>
      </c>
      <c r="C770" s="198"/>
      <c r="D770" s="380">
        <f t="shared" si="122"/>
        <v>0</v>
      </c>
      <c r="E770" s="395"/>
      <c r="F770" s="396"/>
    </row>
    <row r="771" s="360" customFormat="true" spans="1:8">
      <c r="A771" s="377">
        <v>2119999</v>
      </c>
      <c r="B771" s="424" t="s">
        <v>891</v>
      </c>
      <c r="C771" s="381">
        <v>6004</v>
      </c>
      <c r="D771" s="380">
        <f t="shared" si="122"/>
        <v>2787</v>
      </c>
      <c r="E771" s="224">
        <f>(D771/C771-1)</f>
        <v>-0.53580946035976</v>
      </c>
      <c r="F771" s="380">
        <v>2000</v>
      </c>
      <c r="H771" s="360">
        <v>787</v>
      </c>
    </row>
    <row r="772" s="362" customFormat="true" spans="1:8">
      <c r="A772" s="373">
        <v>212</v>
      </c>
      <c r="B772" s="425" t="s">
        <v>892</v>
      </c>
      <c r="C772" s="375">
        <f t="shared" ref="C772:H772" si="131">SUM(C773,C784,C785,C788,C789,C790)</f>
        <v>7472</v>
      </c>
      <c r="D772" s="376">
        <f t="shared" si="122"/>
        <v>7722</v>
      </c>
      <c r="E772" s="224">
        <f>(D772/C772-1)</f>
        <v>0.0334582441113491</v>
      </c>
      <c r="F772" s="415">
        <f t="shared" si="131"/>
        <v>6559</v>
      </c>
      <c r="G772" s="362">
        <f t="shared" si="131"/>
        <v>0</v>
      </c>
      <c r="H772" s="362">
        <f t="shared" si="131"/>
        <v>1163</v>
      </c>
    </row>
    <row r="773" s="360" customFormat="true" spans="1:8">
      <c r="A773" s="377">
        <v>21201</v>
      </c>
      <c r="B773" s="424" t="s">
        <v>893</v>
      </c>
      <c r="C773" s="379">
        <f t="shared" ref="C773:H773" si="132">SUM(C774:C783)</f>
        <v>1663</v>
      </c>
      <c r="D773" s="380">
        <f t="shared" si="122"/>
        <v>1904</v>
      </c>
      <c r="E773" s="224">
        <f>(D773/C773-1)</f>
        <v>0.144918821407096</v>
      </c>
      <c r="F773" s="397">
        <f t="shared" si="132"/>
        <v>1710</v>
      </c>
      <c r="G773" s="402">
        <f t="shared" si="132"/>
        <v>0</v>
      </c>
      <c r="H773" s="402">
        <f t="shared" si="132"/>
        <v>194</v>
      </c>
    </row>
    <row r="774" s="360" customFormat="true" spans="1:6">
      <c r="A774" s="377">
        <v>2120101</v>
      </c>
      <c r="B774" s="424" t="s">
        <v>306</v>
      </c>
      <c r="C774" s="381">
        <v>411</v>
      </c>
      <c r="D774" s="380">
        <f t="shared" si="122"/>
        <v>387</v>
      </c>
      <c r="E774" s="224">
        <f>(D774/C774-1)</f>
        <v>-0.0583941605839416</v>
      </c>
      <c r="F774" s="380">
        <v>387</v>
      </c>
    </row>
    <row r="775" s="360" customFormat="true" spans="1:9">
      <c r="A775" s="377">
        <v>2120102</v>
      </c>
      <c r="B775" s="424" t="s">
        <v>307</v>
      </c>
      <c r="C775" s="381">
        <v>20</v>
      </c>
      <c r="D775" s="380">
        <f t="shared" si="122"/>
        <v>194</v>
      </c>
      <c r="E775" s="224">
        <f>(D775/C775-1)</f>
        <v>8.7</v>
      </c>
      <c r="F775" s="380"/>
      <c r="H775" s="360">
        <v>194</v>
      </c>
      <c r="I775" s="360" t="s">
        <v>87</v>
      </c>
    </row>
    <row r="776" s="181" customFormat="true" hidden="true" spans="1:6">
      <c r="A776" s="382">
        <v>2120103</v>
      </c>
      <c r="B776" s="426" t="s">
        <v>308</v>
      </c>
      <c r="C776" s="198"/>
      <c r="D776" s="380">
        <f t="shared" si="122"/>
        <v>0</v>
      </c>
      <c r="E776" s="395"/>
      <c r="F776" s="396"/>
    </row>
    <row r="777" s="360" customFormat="true" spans="1:6">
      <c r="A777" s="377">
        <v>2120104</v>
      </c>
      <c r="B777" s="424" t="s">
        <v>894</v>
      </c>
      <c r="C777" s="381">
        <v>275</v>
      </c>
      <c r="D777" s="380">
        <f t="shared" si="122"/>
        <v>303</v>
      </c>
      <c r="E777" s="224">
        <f>(D777/C777-1)</f>
        <v>0.101818181818182</v>
      </c>
      <c r="F777" s="380">
        <v>303</v>
      </c>
    </row>
    <row r="778" s="181" customFormat="true" hidden="true" spans="1:6">
      <c r="A778" s="382">
        <v>2120105</v>
      </c>
      <c r="B778" s="426" t="s">
        <v>895</v>
      </c>
      <c r="C778" s="198"/>
      <c r="D778" s="380">
        <f t="shared" ref="D778:D841" si="133">F778+G778+H778</f>
        <v>0</v>
      </c>
      <c r="E778" s="395"/>
      <c r="F778" s="396"/>
    </row>
    <row r="779" s="360" customFormat="true" spans="1:6">
      <c r="A779" s="377">
        <v>2120106</v>
      </c>
      <c r="B779" s="424" t="s">
        <v>896</v>
      </c>
      <c r="C779" s="381">
        <v>511</v>
      </c>
      <c r="D779" s="380">
        <f t="shared" si="133"/>
        <v>496</v>
      </c>
      <c r="E779" s="224">
        <f>(D779/C779-1)</f>
        <v>-0.0293542074363993</v>
      </c>
      <c r="F779" s="380">
        <v>496</v>
      </c>
    </row>
    <row r="780" s="181" customFormat="true" hidden="true" spans="1:6">
      <c r="A780" s="382">
        <v>2120107</v>
      </c>
      <c r="B780" s="426" t="s">
        <v>897</v>
      </c>
      <c r="C780" s="198"/>
      <c r="D780" s="380">
        <f t="shared" si="133"/>
        <v>0</v>
      </c>
      <c r="E780" s="395"/>
      <c r="F780" s="396"/>
    </row>
    <row r="781" s="181" customFormat="true" hidden="true" spans="1:6">
      <c r="A781" s="382">
        <v>2120109</v>
      </c>
      <c r="B781" s="426" t="s">
        <v>898</v>
      </c>
      <c r="C781" s="198"/>
      <c r="D781" s="380">
        <f t="shared" si="133"/>
        <v>0</v>
      </c>
      <c r="E781" s="395"/>
      <c r="F781" s="396"/>
    </row>
    <row r="782" s="181" customFormat="true" hidden="true" spans="1:6">
      <c r="A782" s="382">
        <v>2120110</v>
      </c>
      <c r="B782" s="426" t="s">
        <v>899</v>
      </c>
      <c r="C782" s="198"/>
      <c r="D782" s="380">
        <f t="shared" si="133"/>
        <v>0</v>
      </c>
      <c r="E782" s="395"/>
      <c r="F782" s="396"/>
    </row>
    <row r="783" s="360" customFormat="true" spans="1:6">
      <c r="A783" s="377">
        <v>2120199</v>
      </c>
      <c r="B783" s="424" t="s">
        <v>900</v>
      </c>
      <c r="C783" s="381">
        <v>446</v>
      </c>
      <c r="D783" s="380">
        <f t="shared" si="133"/>
        <v>524</v>
      </c>
      <c r="E783" s="224">
        <f>(D783/C783-1)</f>
        <v>0.174887892376682</v>
      </c>
      <c r="F783" s="380">
        <v>524</v>
      </c>
    </row>
    <row r="784" s="181" customFormat="true" hidden="true" spans="1:8">
      <c r="A784" s="382">
        <v>21202</v>
      </c>
      <c r="B784" s="429" t="s">
        <v>901</v>
      </c>
      <c r="C784" s="198"/>
      <c r="D784" s="380">
        <f t="shared" si="133"/>
        <v>0</v>
      </c>
      <c r="E784" s="395"/>
      <c r="F784" s="396"/>
      <c r="G784" s="404"/>
      <c r="H784" s="404"/>
    </row>
    <row r="785" s="360" customFormat="true" spans="1:8">
      <c r="A785" s="377">
        <v>21203</v>
      </c>
      <c r="B785" s="424" t="s">
        <v>902</v>
      </c>
      <c r="C785" s="379">
        <f t="shared" ref="C785:H785" si="134">SUM(C786:C787)</f>
        <v>3799</v>
      </c>
      <c r="D785" s="380">
        <f t="shared" si="133"/>
        <v>1582</v>
      </c>
      <c r="E785" s="224">
        <f>(D785/C785-1)</f>
        <v>-0.58357462490129</v>
      </c>
      <c r="F785" s="397">
        <f t="shared" si="134"/>
        <v>1365</v>
      </c>
      <c r="G785" s="402">
        <f t="shared" si="134"/>
        <v>0</v>
      </c>
      <c r="H785" s="402">
        <f t="shared" si="134"/>
        <v>217</v>
      </c>
    </row>
    <row r="786" s="181" customFormat="true" hidden="true" spans="1:6">
      <c r="A786" s="382">
        <v>2120303</v>
      </c>
      <c r="B786" s="426" t="s">
        <v>903</v>
      </c>
      <c r="C786" s="198"/>
      <c r="D786" s="380">
        <f t="shared" si="133"/>
        <v>0</v>
      </c>
      <c r="E786" s="395"/>
      <c r="F786" s="396"/>
    </row>
    <row r="787" s="360" customFormat="true" spans="1:8">
      <c r="A787" s="377">
        <v>2120399</v>
      </c>
      <c r="B787" s="424" t="s">
        <v>904</v>
      </c>
      <c r="C787" s="381">
        <v>3799</v>
      </c>
      <c r="D787" s="380">
        <f t="shared" si="133"/>
        <v>1582</v>
      </c>
      <c r="E787" s="224">
        <f>(D787/C787-1)</f>
        <v>-0.58357462490129</v>
      </c>
      <c r="F787" s="380">
        <v>1365</v>
      </c>
      <c r="H787" s="360">
        <v>217</v>
      </c>
    </row>
    <row r="788" s="360" customFormat="true" spans="1:8">
      <c r="A788" s="377">
        <v>21205</v>
      </c>
      <c r="B788" s="424" t="s">
        <v>905</v>
      </c>
      <c r="C788" s="381">
        <v>1243</v>
      </c>
      <c r="D788" s="380">
        <f t="shared" si="133"/>
        <v>1871</v>
      </c>
      <c r="E788" s="224">
        <f>(D788/C788-1)</f>
        <v>0.505229283990346</v>
      </c>
      <c r="F788" s="380">
        <v>1684</v>
      </c>
      <c r="G788" s="402"/>
      <c r="H788" s="402">
        <v>187</v>
      </c>
    </row>
    <row r="789" s="181" customFormat="true" hidden="true" spans="1:8">
      <c r="A789" s="382">
        <v>21206</v>
      </c>
      <c r="B789" s="429" t="s">
        <v>906</v>
      </c>
      <c r="C789" s="198"/>
      <c r="D789" s="380">
        <f t="shared" si="133"/>
        <v>0</v>
      </c>
      <c r="E789" s="395"/>
      <c r="F789" s="396"/>
      <c r="G789" s="404"/>
      <c r="H789" s="404"/>
    </row>
    <row r="790" s="360" customFormat="true" spans="1:9">
      <c r="A790" s="377">
        <v>21299</v>
      </c>
      <c r="B790" s="424" t="s">
        <v>907</v>
      </c>
      <c r="C790" s="381">
        <f>1325-140-418</f>
        <v>767</v>
      </c>
      <c r="D790" s="380">
        <f t="shared" si="133"/>
        <v>2365</v>
      </c>
      <c r="E790" s="224">
        <f>(D790/C790-1)</f>
        <v>2.08344198174707</v>
      </c>
      <c r="F790" s="380">
        <v>1800</v>
      </c>
      <c r="G790" s="402"/>
      <c r="H790" s="402">
        <f>565</f>
        <v>565</v>
      </c>
      <c r="I790" s="363">
        <v>1800</v>
      </c>
    </row>
    <row r="791" s="362" customFormat="true" spans="1:8">
      <c r="A791" s="373">
        <v>213</v>
      </c>
      <c r="B791" s="425" t="s">
        <v>908</v>
      </c>
      <c r="C791" s="375">
        <f t="shared" ref="C791:H791" si="135">SUM(C792,C818,C840,C868,C879,C886,C892,C895)</f>
        <v>18401</v>
      </c>
      <c r="D791" s="376">
        <f t="shared" si="133"/>
        <v>37305</v>
      </c>
      <c r="E791" s="224">
        <f>(D791/C791-1)</f>
        <v>1.02733547089832</v>
      </c>
      <c r="F791" s="415">
        <f t="shared" si="135"/>
        <v>11982</v>
      </c>
      <c r="G791" s="362">
        <f t="shared" si="135"/>
        <v>3498</v>
      </c>
      <c r="H791" s="362">
        <f t="shared" si="135"/>
        <v>21825</v>
      </c>
    </row>
    <row r="792" s="360" customFormat="true" spans="1:8">
      <c r="A792" s="377">
        <v>21301</v>
      </c>
      <c r="B792" s="424" t="s">
        <v>909</v>
      </c>
      <c r="C792" s="379">
        <f t="shared" ref="C792:H792" si="136">SUM(C793:C817)</f>
        <v>2576</v>
      </c>
      <c r="D792" s="380">
        <f t="shared" si="133"/>
        <v>6025</v>
      </c>
      <c r="E792" s="224">
        <f>(D792/C792-1)</f>
        <v>1.33889751552795</v>
      </c>
      <c r="F792" s="397">
        <f t="shared" si="136"/>
        <v>1822</v>
      </c>
      <c r="G792" s="402">
        <f t="shared" si="136"/>
        <v>2083</v>
      </c>
      <c r="H792" s="402">
        <f t="shared" si="136"/>
        <v>2120</v>
      </c>
    </row>
    <row r="793" s="360" customFormat="true" spans="1:6">
      <c r="A793" s="377">
        <v>2130101</v>
      </c>
      <c r="B793" s="424" t="s">
        <v>306</v>
      </c>
      <c r="C793" s="381">
        <v>298</v>
      </c>
      <c r="D793" s="380">
        <f t="shared" si="133"/>
        <v>299</v>
      </c>
      <c r="E793" s="224">
        <f>(D793/C793-1)</f>
        <v>0.00335570469798663</v>
      </c>
      <c r="F793" s="380">
        <v>299</v>
      </c>
    </row>
    <row r="794" s="360" customFormat="true" spans="1:8">
      <c r="A794" s="377">
        <v>2130102</v>
      </c>
      <c r="B794" s="424" t="s">
        <v>307</v>
      </c>
      <c r="C794" s="381">
        <v>45</v>
      </c>
      <c r="D794" s="380">
        <f t="shared" si="133"/>
        <v>40</v>
      </c>
      <c r="E794" s="224">
        <f>(D794/C794-1)</f>
        <v>-0.111111111111111</v>
      </c>
      <c r="F794" s="380">
        <v>26</v>
      </c>
      <c r="H794" s="360">
        <v>14</v>
      </c>
    </row>
    <row r="795" s="181" customFormat="true" hidden="true" spans="1:6">
      <c r="A795" s="382">
        <v>2130103</v>
      </c>
      <c r="B795" s="426" t="s">
        <v>308</v>
      </c>
      <c r="C795" s="198">
        <v>0</v>
      </c>
      <c r="D795" s="380">
        <f t="shared" si="133"/>
        <v>0</v>
      </c>
      <c r="E795" s="395"/>
      <c r="F795" s="396"/>
    </row>
    <row r="796" s="360" customFormat="true" spans="1:8">
      <c r="A796" s="377">
        <v>2130104</v>
      </c>
      <c r="B796" s="424" t="s">
        <v>315</v>
      </c>
      <c r="C796" s="381">
        <v>1436</v>
      </c>
      <c r="D796" s="380">
        <f t="shared" si="133"/>
        <v>1418</v>
      </c>
      <c r="E796" s="224">
        <f>(D796/C796-1)</f>
        <v>-0.0125348189415042</v>
      </c>
      <c r="F796" s="380">
        <v>1414</v>
      </c>
      <c r="H796" s="360">
        <v>4</v>
      </c>
    </row>
    <row r="797" s="181" customFormat="true" hidden="true" spans="1:6">
      <c r="A797" s="382">
        <v>2130105</v>
      </c>
      <c r="B797" s="426" t="s">
        <v>910</v>
      </c>
      <c r="C797" s="198">
        <v>0</v>
      </c>
      <c r="D797" s="380">
        <f t="shared" si="133"/>
        <v>0</v>
      </c>
      <c r="E797" s="395"/>
      <c r="F797" s="396"/>
    </row>
    <row r="798" s="181" customFormat="true" hidden="true" spans="1:6">
      <c r="A798" s="382">
        <v>2130106</v>
      </c>
      <c r="B798" s="426" t="s">
        <v>911</v>
      </c>
      <c r="C798" s="198">
        <v>0</v>
      </c>
      <c r="D798" s="380">
        <f t="shared" si="133"/>
        <v>0</v>
      </c>
      <c r="E798" s="395" t="e">
        <f>(C798/#REF!-1)</f>
        <v>#REF!</v>
      </c>
      <c r="F798" s="396"/>
    </row>
    <row r="799" s="360" customFormat="true" spans="1:9">
      <c r="A799" s="377">
        <v>2130108</v>
      </c>
      <c r="B799" s="424" t="s">
        <v>912</v>
      </c>
      <c r="C799" s="381">
        <v>9</v>
      </c>
      <c r="D799" s="380">
        <f t="shared" si="133"/>
        <v>20</v>
      </c>
      <c r="E799" s="224">
        <f>(D799/C799-1)</f>
        <v>1.22222222222222</v>
      </c>
      <c r="F799" s="380"/>
      <c r="G799" s="360">
        <v>20</v>
      </c>
      <c r="I799" s="360" t="s">
        <v>913</v>
      </c>
    </row>
    <row r="800" s="181" customFormat="true" spans="1:9">
      <c r="A800" s="382">
        <v>2130109</v>
      </c>
      <c r="B800" s="426" t="s">
        <v>914</v>
      </c>
      <c r="C800" s="198">
        <v>0</v>
      </c>
      <c r="D800" s="380">
        <f t="shared" si="133"/>
        <v>301</v>
      </c>
      <c r="E800" s="395"/>
      <c r="F800" s="396"/>
      <c r="G800" s="181">
        <v>295</v>
      </c>
      <c r="H800" s="181">
        <v>6</v>
      </c>
      <c r="I800" s="181" t="s">
        <v>913</v>
      </c>
    </row>
    <row r="801" s="360" customFormat="true" hidden="true" spans="1:6">
      <c r="A801" s="377">
        <v>2130110</v>
      </c>
      <c r="B801" s="424" t="s">
        <v>915</v>
      </c>
      <c r="C801" s="381">
        <v>2</v>
      </c>
      <c r="D801" s="380">
        <f t="shared" si="133"/>
        <v>0</v>
      </c>
      <c r="E801" s="224">
        <f>(D801/C801-1)</f>
        <v>-1</v>
      </c>
      <c r="F801" s="380"/>
    </row>
    <row r="802" s="181" customFormat="true" spans="1:8">
      <c r="A802" s="382">
        <v>2130111</v>
      </c>
      <c r="B802" s="426" t="s">
        <v>916</v>
      </c>
      <c r="C802" s="198">
        <v>0</v>
      </c>
      <c r="D802" s="380">
        <f t="shared" si="133"/>
        <v>4</v>
      </c>
      <c r="E802" s="395"/>
      <c r="F802" s="396"/>
      <c r="H802" s="181">
        <v>4</v>
      </c>
    </row>
    <row r="803" s="181" customFormat="true" hidden="true" spans="1:6">
      <c r="A803" s="382">
        <v>2130112</v>
      </c>
      <c r="B803" s="426" t="s">
        <v>917</v>
      </c>
      <c r="C803" s="198">
        <v>0</v>
      </c>
      <c r="D803" s="380">
        <f t="shared" si="133"/>
        <v>0</v>
      </c>
      <c r="E803" s="395"/>
      <c r="F803" s="396"/>
    </row>
    <row r="804" s="181" customFormat="true" hidden="true" spans="1:6">
      <c r="A804" s="382">
        <v>2130114</v>
      </c>
      <c r="B804" s="426" t="s">
        <v>918</v>
      </c>
      <c r="C804" s="198">
        <v>0</v>
      </c>
      <c r="D804" s="380">
        <f t="shared" si="133"/>
        <v>0</v>
      </c>
      <c r="E804" s="395"/>
      <c r="F804" s="396"/>
    </row>
    <row r="805" s="181" customFormat="true" hidden="true" spans="1:6">
      <c r="A805" s="382">
        <v>2130119</v>
      </c>
      <c r="B805" s="426" t="s">
        <v>919</v>
      </c>
      <c r="C805" s="198">
        <v>0</v>
      </c>
      <c r="D805" s="380">
        <f t="shared" si="133"/>
        <v>0</v>
      </c>
      <c r="E805" s="395"/>
      <c r="F805" s="396"/>
    </row>
    <row r="806" s="181" customFormat="true" hidden="true" spans="1:6">
      <c r="A806" s="382">
        <v>2130120</v>
      </c>
      <c r="B806" s="426" t="s">
        <v>920</v>
      </c>
      <c r="C806" s="198">
        <v>0</v>
      </c>
      <c r="D806" s="380">
        <f t="shared" si="133"/>
        <v>0</v>
      </c>
      <c r="E806" s="395"/>
      <c r="F806" s="396"/>
    </row>
    <row r="807" s="181" customFormat="true" hidden="true" spans="1:6">
      <c r="A807" s="382">
        <v>2130121</v>
      </c>
      <c r="B807" s="426" t="s">
        <v>921</v>
      </c>
      <c r="C807" s="198">
        <v>0</v>
      </c>
      <c r="D807" s="380">
        <f t="shared" si="133"/>
        <v>0</v>
      </c>
      <c r="E807" s="395"/>
      <c r="F807" s="396"/>
    </row>
    <row r="808" s="360" customFormat="true" spans="1:9">
      <c r="A808" s="377">
        <v>2130122</v>
      </c>
      <c r="B808" s="424" t="s">
        <v>922</v>
      </c>
      <c r="C808" s="381">
        <v>601</v>
      </c>
      <c r="D808" s="380">
        <f t="shared" si="133"/>
        <v>3040</v>
      </c>
      <c r="E808" s="224">
        <f>(D808/C808-1)</f>
        <v>4.05823627287854</v>
      </c>
      <c r="F808" s="380"/>
      <c r="G808" s="360">
        <v>988</v>
      </c>
      <c r="H808" s="360">
        <v>2052</v>
      </c>
      <c r="I808" s="360" t="s">
        <v>913</v>
      </c>
    </row>
    <row r="809" s="181" customFormat="true" spans="1:9">
      <c r="A809" s="382">
        <v>2130124</v>
      </c>
      <c r="B809" s="426" t="s">
        <v>923</v>
      </c>
      <c r="C809" s="198">
        <v>0</v>
      </c>
      <c r="D809" s="380">
        <f t="shared" si="133"/>
        <v>364</v>
      </c>
      <c r="E809" s="395"/>
      <c r="F809" s="396"/>
      <c r="G809" s="181">
        <v>364</v>
      </c>
      <c r="I809" s="181" t="s">
        <v>913</v>
      </c>
    </row>
    <row r="810" s="181" customFormat="true" spans="1:9">
      <c r="A810" s="382">
        <v>2130125</v>
      </c>
      <c r="B810" s="426" t="s">
        <v>924</v>
      </c>
      <c r="C810" s="198">
        <v>0</v>
      </c>
      <c r="D810" s="380">
        <f t="shared" si="133"/>
        <v>354</v>
      </c>
      <c r="E810" s="395"/>
      <c r="F810" s="396"/>
      <c r="G810" s="181">
        <v>350</v>
      </c>
      <c r="H810" s="181">
        <v>4</v>
      </c>
      <c r="I810" s="181" t="s">
        <v>913</v>
      </c>
    </row>
    <row r="811" s="181" customFormat="true" hidden="true" spans="1:6">
      <c r="A811" s="382">
        <v>2130126</v>
      </c>
      <c r="B811" s="426" t="s">
        <v>925</v>
      </c>
      <c r="C811" s="198">
        <v>0</v>
      </c>
      <c r="D811" s="380">
        <f t="shared" si="133"/>
        <v>0</v>
      </c>
      <c r="E811" s="395"/>
      <c r="F811" s="396"/>
    </row>
    <row r="812" s="360" customFormat="true" spans="1:8">
      <c r="A812" s="377">
        <v>2130135</v>
      </c>
      <c r="B812" s="424" t="s">
        <v>926</v>
      </c>
      <c r="C812" s="381">
        <v>28</v>
      </c>
      <c r="D812" s="380">
        <f t="shared" si="133"/>
        <v>3</v>
      </c>
      <c r="E812" s="224">
        <f>(D812/C812-1)</f>
        <v>-0.892857142857143</v>
      </c>
      <c r="F812" s="380"/>
      <c r="H812" s="360">
        <v>3</v>
      </c>
    </row>
    <row r="813" s="181" customFormat="true" hidden="true" spans="1:6">
      <c r="A813" s="382">
        <v>2130142</v>
      </c>
      <c r="B813" s="426" t="s">
        <v>927</v>
      </c>
      <c r="C813" s="198">
        <v>0</v>
      </c>
      <c r="D813" s="380">
        <f t="shared" si="133"/>
        <v>0</v>
      </c>
      <c r="E813" s="395"/>
      <c r="F813" s="396"/>
    </row>
    <row r="814" s="360" customFormat="true" spans="1:9">
      <c r="A814" s="377">
        <v>2130148</v>
      </c>
      <c r="B814" s="424" t="s">
        <v>928</v>
      </c>
      <c r="C814" s="381">
        <f>32+70</f>
        <v>102</v>
      </c>
      <c r="D814" s="380">
        <f t="shared" si="133"/>
        <v>86</v>
      </c>
      <c r="E814" s="224">
        <f>(D814/C814-1)</f>
        <v>-0.156862745098039</v>
      </c>
      <c r="F814" s="380"/>
      <c r="G814" s="360">
        <v>66</v>
      </c>
      <c r="H814" s="360">
        <v>20</v>
      </c>
      <c r="I814" s="360" t="s">
        <v>913</v>
      </c>
    </row>
    <row r="815" s="181" customFormat="true" hidden="true" spans="1:6">
      <c r="A815" s="382">
        <v>2130152</v>
      </c>
      <c r="B815" s="426" t="s">
        <v>929</v>
      </c>
      <c r="C815" s="198">
        <v>0</v>
      </c>
      <c r="D815" s="380">
        <f t="shared" si="133"/>
        <v>0</v>
      </c>
      <c r="E815" s="395"/>
      <c r="F815" s="396"/>
    </row>
    <row r="816" s="181" customFormat="true" hidden="true" spans="1:6">
      <c r="A816" s="382">
        <v>2130153</v>
      </c>
      <c r="B816" s="426" t="s">
        <v>930</v>
      </c>
      <c r="C816" s="198">
        <v>0</v>
      </c>
      <c r="D816" s="380">
        <f t="shared" si="133"/>
        <v>0</v>
      </c>
      <c r="E816" s="395"/>
      <c r="F816" s="396"/>
    </row>
    <row r="817" s="360" customFormat="true" spans="1:8">
      <c r="A817" s="377">
        <v>2130199</v>
      </c>
      <c r="B817" s="424" t="s">
        <v>931</v>
      </c>
      <c r="C817" s="381">
        <v>55</v>
      </c>
      <c r="D817" s="380">
        <f t="shared" si="133"/>
        <v>96</v>
      </c>
      <c r="E817" s="224">
        <f>(D817/C817-1)</f>
        <v>0.745454545454545</v>
      </c>
      <c r="F817" s="380">
        <v>83</v>
      </c>
      <c r="H817" s="360">
        <v>13</v>
      </c>
    </row>
    <row r="818" s="360" customFormat="true" spans="1:8">
      <c r="A818" s="377">
        <v>21302</v>
      </c>
      <c r="B818" s="424" t="s">
        <v>932</v>
      </c>
      <c r="C818" s="379">
        <f t="shared" ref="C818:H818" si="137">SUM(C819:C839)</f>
        <v>12511</v>
      </c>
      <c r="D818" s="380">
        <f t="shared" si="133"/>
        <v>10208</v>
      </c>
      <c r="E818" s="224">
        <f>(D818/C818-1)</f>
        <v>-0.184078011350012</v>
      </c>
      <c r="F818" s="397">
        <f t="shared" si="137"/>
        <v>8981</v>
      </c>
      <c r="G818" s="402">
        <f t="shared" si="137"/>
        <v>175</v>
      </c>
      <c r="H818" s="402">
        <f t="shared" si="137"/>
        <v>1052</v>
      </c>
    </row>
    <row r="819" s="181" customFormat="true" hidden="true" spans="1:6">
      <c r="A819" s="382">
        <v>2130201</v>
      </c>
      <c r="B819" s="426" t="s">
        <v>306</v>
      </c>
      <c r="C819" s="198">
        <v>0</v>
      </c>
      <c r="D819" s="380">
        <f t="shared" si="133"/>
        <v>0</v>
      </c>
      <c r="E819" s="395"/>
      <c r="F819" s="396"/>
    </row>
    <row r="820" s="181" customFormat="true" hidden="true" spans="1:6">
      <c r="A820" s="382">
        <v>2130202</v>
      </c>
      <c r="B820" s="426" t="s">
        <v>307</v>
      </c>
      <c r="C820" s="198">
        <v>0</v>
      </c>
      <c r="D820" s="380">
        <f t="shared" si="133"/>
        <v>0</v>
      </c>
      <c r="E820" s="395"/>
      <c r="F820" s="396"/>
    </row>
    <row r="821" s="181" customFormat="true" hidden="true" spans="1:6">
      <c r="A821" s="382">
        <v>2130203</v>
      </c>
      <c r="B821" s="426" t="s">
        <v>308</v>
      </c>
      <c r="C821" s="198">
        <v>0</v>
      </c>
      <c r="D821" s="380">
        <f t="shared" si="133"/>
        <v>0</v>
      </c>
      <c r="E821" s="395"/>
      <c r="F821" s="396"/>
    </row>
    <row r="822" s="360" customFormat="true" spans="1:8">
      <c r="A822" s="377">
        <v>2130204</v>
      </c>
      <c r="B822" s="424" t="s">
        <v>933</v>
      </c>
      <c r="C822" s="381">
        <v>8865</v>
      </c>
      <c r="D822" s="380">
        <f t="shared" si="133"/>
        <v>8751</v>
      </c>
      <c r="E822" s="224">
        <f>(D822/C822-1)</f>
        <v>-0.0128595600676819</v>
      </c>
      <c r="F822" s="380">
        <v>8744</v>
      </c>
      <c r="H822" s="360">
        <v>7</v>
      </c>
    </row>
    <row r="823" s="360" customFormat="true" spans="1:8">
      <c r="A823" s="377">
        <v>2130205</v>
      </c>
      <c r="B823" s="424" t="s">
        <v>934</v>
      </c>
      <c r="C823" s="381">
        <f>1441+196</f>
        <v>1637</v>
      </c>
      <c r="D823" s="380">
        <f t="shared" si="133"/>
        <v>346</v>
      </c>
      <c r="E823" s="224">
        <f>(D823/C823-1)</f>
        <v>-0.788637751985339</v>
      </c>
      <c r="F823" s="380"/>
      <c r="H823" s="360">
        <v>346</v>
      </c>
    </row>
    <row r="824" s="181" customFormat="true" spans="1:9">
      <c r="A824" s="382">
        <v>2130206</v>
      </c>
      <c r="B824" s="426" t="s">
        <v>935</v>
      </c>
      <c r="C824" s="198">
        <v>0</v>
      </c>
      <c r="D824" s="380">
        <f t="shared" si="133"/>
        <v>163</v>
      </c>
      <c r="E824" s="224">
        <v>0</v>
      </c>
      <c r="F824" s="396"/>
      <c r="G824" s="181">
        <v>163</v>
      </c>
      <c r="I824" s="181" t="s">
        <v>936</v>
      </c>
    </row>
    <row r="825" s="360" customFormat="true" hidden="true" spans="1:6">
      <c r="A825" s="377">
        <v>2130207</v>
      </c>
      <c r="B825" s="424" t="s">
        <v>937</v>
      </c>
      <c r="C825" s="381">
        <v>175</v>
      </c>
      <c r="D825" s="380">
        <f t="shared" si="133"/>
        <v>0</v>
      </c>
      <c r="E825" s="224">
        <f>(D825/C825-1)</f>
        <v>-1</v>
      </c>
      <c r="F825" s="380"/>
    </row>
    <row r="826" s="360" customFormat="true" spans="1:8">
      <c r="A826" s="377">
        <v>2130209</v>
      </c>
      <c r="B826" s="424" t="s">
        <v>938</v>
      </c>
      <c r="C826" s="381">
        <v>160</v>
      </c>
      <c r="D826" s="380">
        <f t="shared" si="133"/>
        <v>12</v>
      </c>
      <c r="E826" s="224">
        <f>(D826/C826-1)</f>
        <v>-0.925</v>
      </c>
      <c r="F826" s="380"/>
      <c r="H826" s="360">
        <v>12</v>
      </c>
    </row>
    <row r="827" s="360" customFormat="true" hidden="true" spans="1:6">
      <c r="A827" s="377">
        <v>2130211</v>
      </c>
      <c r="B827" s="424" t="s">
        <v>939</v>
      </c>
      <c r="C827" s="381">
        <v>17</v>
      </c>
      <c r="D827" s="380">
        <f t="shared" si="133"/>
        <v>0</v>
      </c>
      <c r="E827" s="224">
        <f>(D827/C827-1)</f>
        <v>-1</v>
      </c>
      <c r="F827" s="380"/>
    </row>
    <row r="828" s="360" customFormat="true" spans="1:8">
      <c r="A828" s="377">
        <v>2130212</v>
      </c>
      <c r="B828" s="424" t="s">
        <v>940</v>
      </c>
      <c r="C828" s="381">
        <f>995+650</f>
        <v>1645</v>
      </c>
      <c r="D828" s="380">
        <f t="shared" si="133"/>
        <v>642</v>
      </c>
      <c r="E828" s="224">
        <f>(D828/C828-1)</f>
        <v>-0.609726443768997</v>
      </c>
      <c r="F828" s="380"/>
      <c r="H828" s="360">
        <v>642</v>
      </c>
    </row>
    <row r="829" s="181" customFormat="true" hidden="true" spans="1:6">
      <c r="A829" s="382">
        <v>2130213</v>
      </c>
      <c r="B829" s="426" t="s">
        <v>941</v>
      </c>
      <c r="C829" s="198">
        <v>0</v>
      </c>
      <c r="D829" s="380">
        <f t="shared" si="133"/>
        <v>0</v>
      </c>
      <c r="E829" s="395"/>
      <c r="F829" s="396"/>
    </row>
    <row r="830" s="181" customFormat="true" hidden="true" spans="1:6">
      <c r="A830" s="382">
        <v>2130217</v>
      </c>
      <c r="B830" s="426" t="s">
        <v>942</v>
      </c>
      <c r="C830" s="198">
        <v>0</v>
      </c>
      <c r="D830" s="380">
        <f t="shared" si="133"/>
        <v>0</v>
      </c>
      <c r="E830" s="395"/>
      <c r="F830" s="396"/>
    </row>
    <row r="831" s="181" customFormat="true" hidden="true" spans="1:6">
      <c r="A831" s="382">
        <v>2130220</v>
      </c>
      <c r="B831" s="426" t="s">
        <v>943</v>
      </c>
      <c r="C831" s="198">
        <v>0</v>
      </c>
      <c r="D831" s="380">
        <f t="shared" si="133"/>
        <v>0</v>
      </c>
      <c r="E831" s="395"/>
      <c r="F831" s="396"/>
    </row>
    <row r="832" s="181" customFormat="true" hidden="true" spans="1:6">
      <c r="A832" s="382">
        <v>2130221</v>
      </c>
      <c r="B832" s="426" t="s">
        <v>944</v>
      </c>
      <c r="C832" s="198">
        <v>0</v>
      </c>
      <c r="D832" s="380">
        <f t="shared" si="133"/>
        <v>0</v>
      </c>
      <c r="E832" s="395" t="e">
        <f>(C832/#REF!-1)</f>
        <v>#REF!</v>
      </c>
      <c r="F832" s="396"/>
    </row>
    <row r="833" s="181" customFormat="true" hidden="true" spans="1:6">
      <c r="A833" s="382">
        <v>2130223</v>
      </c>
      <c r="B833" s="426" t="s">
        <v>945</v>
      </c>
      <c r="C833" s="198">
        <v>0</v>
      </c>
      <c r="D833" s="380">
        <f t="shared" si="133"/>
        <v>0</v>
      </c>
      <c r="E833" s="395"/>
      <c r="F833" s="396"/>
    </row>
    <row r="834" s="181" customFormat="true" hidden="true" spans="1:6">
      <c r="A834" s="382">
        <v>2130226</v>
      </c>
      <c r="B834" s="426" t="s">
        <v>946</v>
      </c>
      <c r="C834" s="198">
        <v>0</v>
      </c>
      <c r="D834" s="380">
        <f t="shared" si="133"/>
        <v>0</v>
      </c>
      <c r="E834" s="395"/>
      <c r="F834" s="396"/>
    </row>
    <row r="835" s="181" customFormat="true" hidden="true" spans="1:6">
      <c r="A835" s="382">
        <v>2130227</v>
      </c>
      <c r="B835" s="426" t="s">
        <v>947</v>
      </c>
      <c r="C835" s="198">
        <v>0</v>
      </c>
      <c r="D835" s="380">
        <f t="shared" si="133"/>
        <v>0</v>
      </c>
      <c r="E835" s="395"/>
      <c r="F835" s="396"/>
    </row>
    <row r="836" s="360" customFormat="true" spans="1:9">
      <c r="A836" s="377">
        <v>2130234</v>
      </c>
      <c r="B836" s="424" t="s">
        <v>948</v>
      </c>
      <c r="C836" s="381">
        <v>12</v>
      </c>
      <c r="D836" s="380">
        <f t="shared" si="133"/>
        <v>93</v>
      </c>
      <c r="E836" s="224">
        <f>(D836/C836-1)</f>
        <v>6.75</v>
      </c>
      <c r="F836" s="380">
        <v>38</v>
      </c>
      <c r="G836" s="360">
        <v>12</v>
      </c>
      <c r="H836" s="360">
        <v>43</v>
      </c>
      <c r="I836" s="360" t="s">
        <v>936</v>
      </c>
    </row>
    <row r="837" s="181" customFormat="true" spans="1:8">
      <c r="A837" s="382">
        <v>2130236</v>
      </c>
      <c r="B837" s="426" t="s">
        <v>949</v>
      </c>
      <c r="C837" s="198">
        <v>0</v>
      </c>
      <c r="D837" s="380">
        <f t="shared" si="133"/>
        <v>2</v>
      </c>
      <c r="E837" s="395"/>
      <c r="F837" s="396"/>
      <c r="H837" s="181">
        <v>2</v>
      </c>
    </row>
    <row r="838" s="181" customFormat="true" hidden="true" spans="1:6">
      <c r="A838" s="382">
        <v>2130237</v>
      </c>
      <c r="B838" s="426" t="s">
        <v>917</v>
      </c>
      <c r="C838" s="198">
        <v>0</v>
      </c>
      <c r="D838" s="380">
        <f t="shared" si="133"/>
        <v>0</v>
      </c>
      <c r="E838" s="395"/>
      <c r="F838" s="396"/>
    </row>
    <row r="839" s="181" customFormat="true" spans="1:6">
      <c r="A839" s="382">
        <v>2130299</v>
      </c>
      <c r="B839" s="426" t="s">
        <v>950</v>
      </c>
      <c r="C839" s="198">
        <v>0</v>
      </c>
      <c r="D839" s="380">
        <f t="shared" si="133"/>
        <v>199</v>
      </c>
      <c r="E839" s="224">
        <v>0</v>
      </c>
      <c r="F839" s="396">
        <v>199</v>
      </c>
    </row>
    <row r="840" s="360" customFormat="true" spans="1:8">
      <c r="A840" s="377">
        <v>21303</v>
      </c>
      <c r="B840" s="424" t="s">
        <v>951</v>
      </c>
      <c r="C840" s="379">
        <f t="shared" ref="C840:H840" si="138">SUM(C841:C867)</f>
        <v>1721</v>
      </c>
      <c r="D840" s="380">
        <f t="shared" si="133"/>
        <v>946</v>
      </c>
      <c r="E840" s="224">
        <f>(D840/C840-1)</f>
        <v>-0.450319581638582</v>
      </c>
      <c r="F840" s="397">
        <f t="shared" si="138"/>
        <v>758</v>
      </c>
      <c r="G840" s="402">
        <f t="shared" si="138"/>
        <v>0</v>
      </c>
      <c r="H840" s="402">
        <f t="shared" si="138"/>
        <v>188</v>
      </c>
    </row>
    <row r="841" s="360" customFormat="true" spans="1:6">
      <c r="A841" s="377">
        <v>2130301</v>
      </c>
      <c r="B841" s="424" t="s">
        <v>306</v>
      </c>
      <c r="C841" s="381">
        <v>205</v>
      </c>
      <c r="D841" s="380">
        <f t="shared" si="133"/>
        <v>209</v>
      </c>
      <c r="E841" s="224">
        <f>(D841/C841-1)</f>
        <v>0.0195121951219512</v>
      </c>
      <c r="F841" s="380">
        <v>209</v>
      </c>
    </row>
    <row r="842" s="360" customFormat="true" spans="1:6">
      <c r="A842" s="377">
        <v>2130302</v>
      </c>
      <c r="B842" s="424" t="s">
        <v>307</v>
      </c>
      <c r="C842" s="381">
        <v>37</v>
      </c>
      <c r="D842" s="380">
        <f t="shared" ref="D842:D905" si="139">F842+G842+H842</f>
        <v>25</v>
      </c>
      <c r="E842" s="224">
        <f>(D842/C842-1)</f>
        <v>-0.324324324324324</v>
      </c>
      <c r="F842" s="380">
        <v>25</v>
      </c>
    </row>
    <row r="843" s="181" customFormat="true" hidden="true" spans="1:6">
      <c r="A843" s="382">
        <v>2130303</v>
      </c>
      <c r="B843" s="426" t="s">
        <v>308</v>
      </c>
      <c r="C843" s="198">
        <v>0</v>
      </c>
      <c r="D843" s="380">
        <f t="shared" si="139"/>
        <v>0</v>
      </c>
      <c r="E843" s="395"/>
      <c r="F843" s="396"/>
    </row>
    <row r="844" s="360" customFormat="true" spans="1:6">
      <c r="A844" s="377">
        <v>2130304</v>
      </c>
      <c r="B844" s="424" t="s">
        <v>952</v>
      </c>
      <c r="C844" s="381">
        <v>354</v>
      </c>
      <c r="D844" s="380">
        <f t="shared" si="139"/>
        <v>359</v>
      </c>
      <c r="E844" s="224">
        <f>(D844/C844-1)</f>
        <v>0.0141242937853108</v>
      </c>
      <c r="F844" s="380">
        <v>359</v>
      </c>
    </row>
    <row r="845" s="360" customFormat="true" spans="1:8">
      <c r="A845" s="377">
        <v>2130305</v>
      </c>
      <c r="B845" s="424" t="s">
        <v>953</v>
      </c>
      <c r="C845" s="381">
        <v>222</v>
      </c>
      <c r="D845" s="380">
        <f t="shared" si="139"/>
        <v>50</v>
      </c>
      <c r="E845" s="224">
        <f>(D845/C845-1)</f>
        <v>-0.774774774774775</v>
      </c>
      <c r="F845" s="380"/>
      <c r="H845" s="360">
        <v>50</v>
      </c>
    </row>
    <row r="846" s="181" customFormat="true" hidden="true" spans="1:6">
      <c r="A846" s="382">
        <v>2130306</v>
      </c>
      <c r="B846" s="426" t="s">
        <v>954</v>
      </c>
      <c r="C846" s="198">
        <v>0</v>
      </c>
      <c r="D846" s="380">
        <f t="shared" si="139"/>
        <v>0</v>
      </c>
      <c r="E846" s="395" t="e">
        <f>(C846/#REF!-1)</f>
        <v>#REF!</v>
      </c>
      <c r="F846" s="396"/>
    </row>
    <row r="847" s="181" customFormat="true" hidden="true" spans="1:6">
      <c r="A847" s="382">
        <v>2130307</v>
      </c>
      <c r="B847" s="426" t="s">
        <v>955</v>
      </c>
      <c r="C847" s="198">
        <v>0</v>
      </c>
      <c r="D847" s="380">
        <f t="shared" si="139"/>
        <v>0</v>
      </c>
      <c r="E847" s="395"/>
      <c r="F847" s="396"/>
    </row>
    <row r="848" s="181" customFormat="true" hidden="true" spans="1:6">
      <c r="A848" s="382">
        <v>2130308</v>
      </c>
      <c r="B848" s="426" t="s">
        <v>956</v>
      </c>
      <c r="C848" s="198">
        <v>0</v>
      </c>
      <c r="D848" s="380">
        <f t="shared" si="139"/>
        <v>0</v>
      </c>
      <c r="E848" s="395"/>
      <c r="F848" s="396"/>
    </row>
    <row r="849" s="181" customFormat="true" hidden="true" spans="1:6">
      <c r="A849" s="382">
        <v>2130309</v>
      </c>
      <c r="B849" s="426" t="s">
        <v>957</v>
      </c>
      <c r="C849" s="198">
        <v>0</v>
      </c>
      <c r="D849" s="380">
        <f t="shared" si="139"/>
        <v>0</v>
      </c>
      <c r="E849" s="395"/>
      <c r="F849" s="396"/>
    </row>
    <row r="850" s="360" customFormat="true" spans="1:6">
      <c r="A850" s="377">
        <v>2130310</v>
      </c>
      <c r="B850" s="424" t="s">
        <v>958</v>
      </c>
      <c r="C850" s="381">
        <v>198</v>
      </c>
      <c r="D850" s="380">
        <f t="shared" si="139"/>
        <v>165</v>
      </c>
      <c r="E850" s="224">
        <f>(D850/C850-1)</f>
        <v>-0.166666666666667</v>
      </c>
      <c r="F850" s="380">
        <v>165</v>
      </c>
    </row>
    <row r="851" s="181" customFormat="true" hidden="true" spans="1:6">
      <c r="A851" s="382">
        <v>2130311</v>
      </c>
      <c r="B851" s="426" t="s">
        <v>959</v>
      </c>
      <c r="C851" s="198">
        <v>0</v>
      </c>
      <c r="D851" s="380">
        <f t="shared" si="139"/>
        <v>0</v>
      </c>
      <c r="E851" s="395"/>
      <c r="F851" s="396"/>
    </row>
    <row r="852" s="181" customFormat="true" hidden="true" spans="1:6">
      <c r="A852" s="382">
        <v>2130312</v>
      </c>
      <c r="B852" s="426" t="s">
        <v>960</v>
      </c>
      <c r="C852" s="198">
        <v>0</v>
      </c>
      <c r="D852" s="380">
        <f t="shared" si="139"/>
        <v>0</v>
      </c>
      <c r="E852" s="395"/>
      <c r="F852" s="396"/>
    </row>
    <row r="853" s="181" customFormat="true" hidden="true" spans="1:6">
      <c r="A853" s="382">
        <v>2130313</v>
      </c>
      <c r="B853" s="426" t="s">
        <v>961</v>
      </c>
      <c r="C853" s="198">
        <v>0</v>
      </c>
      <c r="D853" s="380">
        <f t="shared" si="139"/>
        <v>0</v>
      </c>
      <c r="E853" s="395"/>
      <c r="F853" s="396"/>
    </row>
    <row r="854" s="181" customFormat="true" hidden="true" spans="1:6">
      <c r="A854" s="382">
        <v>2130314</v>
      </c>
      <c r="B854" s="426" t="s">
        <v>962</v>
      </c>
      <c r="C854" s="198">
        <v>0</v>
      </c>
      <c r="D854" s="380">
        <f t="shared" si="139"/>
        <v>0</v>
      </c>
      <c r="E854" s="395"/>
      <c r="F854" s="396"/>
    </row>
    <row r="855" s="181" customFormat="true" hidden="true" spans="1:6">
      <c r="A855" s="382">
        <v>2130315</v>
      </c>
      <c r="B855" s="426" t="s">
        <v>963</v>
      </c>
      <c r="C855" s="198">
        <v>0</v>
      </c>
      <c r="D855" s="380">
        <f t="shared" si="139"/>
        <v>0</v>
      </c>
      <c r="E855" s="395"/>
      <c r="F855" s="396"/>
    </row>
    <row r="856" s="181" customFormat="true" hidden="true" spans="1:6">
      <c r="A856" s="382">
        <v>2130316</v>
      </c>
      <c r="B856" s="426" t="s">
        <v>964</v>
      </c>
      <c r="C856" s="198">
        <v>0</v>
      </c>
      <c r="D856" s="380">
        <f t="shared" si="139"/>
        <v>0</v>
      </c>
      <c r="E856" s="395"/>
      <c r="F856" s="396"/>
    </row>
    <row r="857" s="181" customFormat="true" hidden="true" spans="1:6">
      <c r="A857" s="382">
        <v>2130317</v>
      </c>
      <c r="B857" s="426" t="s">
        <v>965</v>
      </c>
      <c r="C857" s="198">
        <v>0</v>
      </c>
      <c r="D857" s="380">
        <f t="shared" si="139"/>
        <v>0</v>
      </c>
      <c r="E857" s="395"/>
      <c r="F857" s="396"/>
    </row>
    <row r="858" s="181" customFormat="true" hidden="true" spans="1:6">
      <c r="A858" s="382">
        <v>2130318</v>
      </c>
      <c r="B858" s="426" t="s">
        <v>966</v>
      </c>
      <c r="C858" s="198">
        <v>0</v>
      </c>
      <c r="D858" s="380">
        <f t="shared" si="139"/>
        <v>0</v>
      </c>
      <c r="E858" s="395"/>
      <c r="F858" s="396"/>
    </row>
    <row r="859" s="181" customFormat="true" hidden="true" spans="1:6">
      <c r="A859" s="382">
        <v>2130319</v>
      </c>
      <c r="B859" s="426" t="s">
        <v>967</v>
      </c>
      <c r="C859" s="198">
        <v>0</v>
      </c>
      <c r="D859" s="380">
        <f t="shared" si="139"/>
        <v>0</v>
      </c>
      <c r="E859" s="395"/>
      <c r="F859" s="396"/>
    </row>
    <row r="860" s="181" customFormat="true" hidden="true" spans="1:6">
      <c r="A860" s="382">
        <v>2130321</v>
      </c>
      <c r="B860" s="426" t="s">
        <v>968</v>
      </c>
      <c r="C860" s="198">
        <v>0</v>
      </c>
      <c r="D860" s="380">
        <f t="shared" si="139"/>
        <v>0</v>
      </c>
      <c r="E860" s="395"/>
      <c r="F860" s="396"/>
    </row>
    <row r="861" s="181" customFormat="true" hidden="true" spans="1:6">
      <c r="A861" s="382">
        <v>2130322</v>
      </c>
      <c r="B861" s="426" t="s">
        <v>969</v>
      </c>
      <c r="C861" s="198">
        <v>0</v>
      </c>
      <c r="D861" s="380">
        <f t="shared" si="139"/>
        <v>0</v>
      </c>
      <c r="E861" s="395"/>
      <c r="F861" s="396"/>
    </row>
    <row r="862" s="181" customFormat="true" hidden="true" spans="1:6">
      <c r="A862" s="382">
        <v>2130333</v>
      </c>
      <c r="B862" s="426" t="s">
        <v>945</v>
      </c>
      <c r="C862" s="198">
        <v>0</v>
      </c>
      <c r="D862" s="380">
        <f t="shared" si="139"/>
        <v>0</v>
      </c>
      <c r="E862" s="395"/>
      <c r="F862" s="396"/>
    </row>
    <row r="863" s="181" customFormat="true" hidden="true" spans="1:6">
      <c r="A863" s="382">
        <v>2130334</v>
      </c>
      <c r="B863" s="426" t="s">
        <v>970</v>
      </c>
      <c r="C863" s="198">
        <v>0</v>
      </c>
      <c r="D863" s="380">
        <f t="shared" si="139"/>
        <v>0</v>
      </c>
      <c r="E863" s="395"/>
      <c r="F863" s="396"/>
    </row>
    <row r="864" s="181" customFormat="true" hidden="true" spans="1:6">
      <c r="A864" s="382">
        <v>2130335</v>
      </c>
      <c r="B864" s="426" t="s">
        <v>971</v>
      </c>
      <c r="C864" s="198">
        <v>0</v>
      </c>
      <c r="D864" s="380">
        <f t="shared" si="139"/>
        <v>0</v>
      </c>
      <c r="E864" s="395" t="e">
        <f>(C864/#REF!-1)</f>
        <v>#REF!</v>
      </c>
      <c r="F864" s="396"/>
    </row>
    <row r="865" s="181" customFormat="true" hidden="true" spans="1:6">
      <c r="A865" s="382">
        <v>2130336</v>
      </c>
      <c r="B865" s="426" t="s">
        <v>972</v>
      </c>
      <c r="C865" s="198">
        <v>0</v>
      </c>
      <c r="D865" s="380">
        <f t="shared" si="139"/>
        <v>0</v>
      </c>
      <c r="E865" s="395"/>
      <c r="F865" s="396"/>
    </row>
    <row r="866" s="181" customFormat="true" hidden="true" spans="1:6">
      <c r="A866" s="382">
        <v>2130337</v>
      </c>
      <c r="B866" s="426" t="s">
        <v>973</v>
      </c>
      <c r="C866" s="198">
        <v>0</v>
      </c>
      <c r="D866" s="380">
        <f t="shared" si="139"/>
        <v>0</v>
      </c>
      <c r="E866" s="395"/>
      <c r="F866" s="396"/>
    </row>
    <row r="867" s="360" customFormat="true" spans="1:8">
      <c r="A867" s="377">
        <v>2130399</v>
      </c>
      <c r="B867" s="424" t="s">
        <v>974</v>
      </c>
      <c r="C867" s="381">
        <v>705</v>
      </c>
      <c r="D867" s="380">
        <f t="shared" si="139"/>
        <v>138</v>
      </c>
      <c r="E867" s="224">
        <f>(D867/C867-1)</f>
        <v>-0.804255319148936</v>
      </c>
      <c r="F867" s="380"/>
      <c r="H867" s="360">
        <v>138</v>
      </c>
    </row>
    <row r="868" s="360" customFormat="true" spans="1:8">
      <c r="A868" s="377">
        <v>21305</v>
      </c>
      <c r="B868" s="424" t="s">
        <v>975</v>
      </c>
      <c r="C868" s="379">
        <f t="shared" ref="C868:H868" si="140">SUM(C869:C878)</f>
        <v>368</v>
      </c>
      <c r="D868" s="380">
        <f t="shared" si="139"/>
        <v>321</v>
      </c>
      <c r="E868" s="224">
        <f>(D868/C868-1)</f>
        <v>-0.127717391304348</v>
      </c>
      <c r="F868" s="397">
        <f t="shared" si="140"/>
        <v>321</v>
      </c>
      <c r="G868" s="402">
        <f t="shared" si="140"/>
        <v>0</v>
      </c>
      <c r="H868" s="402">
        <f t="shared" si="140"/>
        <v>0</v>
      </c>
    </row>
    <row r="869" s="360" customFormat="true" spans="1:6">
      <c r="A869" s="377">
        <v>2130501</v>
      </c>
      <c r="B869" s="424" t="s">
        <v>306</v>
      </c>
      <c r="C869" s="381">
        <v>291</v>
      </c>
      <c r="D869" s="380">
        <f t="shared" si="139"/>
        <v>294</v>
      </c>
      <c r="E869" s="224">
        <f>(D869/C869-1)</f>
        <v>0.0103092783505154</v>
      </c>
      <c r="F869" s="380">
        <v>294</v>
      </c>
    </row>
    <row r="870" s="360" customFormat="true" spans="1:6">
      <c r="A870" s="377">
        <v>2130502</v>
      </c>
      <c r="B870" s="424" t="s">
        <v>307</v>
      </c>
      <c r="C870" s="381">
        <v>30</v>
      </c>
      <c r="D870" s="380">
        <f t="shared" si="139"/>
        <v>27</v>
      </c>
      <c r="E870" s="224">
        <f>(D870/C870-1)</f>
        <v>-0.1</v>
      </c>
      <c r="F870" s="380">
        <v>27</v>
      </c>
    </row>
    <row r="871" s="181" customFormat="true" hidden="true" spans="1:6">
      <c r="A871" s="382">
        <v>2130503</v>
      </c>
      <c r="B871" s="426" t="s">
        <v>308</v>
      </c>
      <c r="C871" s="198"/>
      <c r="D871" s="380">
        <f t="shared" si="139"/>
        <v>0</v>
      </c>
      <c r="E871" s="395"/>
      <c r="F871" s="396"/>
    </row>
    <row r="872" s="181" customFormat="true" hidden="true" spans="1:6">
      <c r="A872" s="382">
        <v>2130504</v>
      </c>
      <c r="B872" s="426" t="s">
        <v>976</v>
      </c>
      <c r="C872" s="198"/>
      <c r="D872" s="380">
        <f t="shared" si="139"/>
        <v>0</v>
      </c>
      <c r="E872" s="395"/>
      <c r="F872" s="396"/>
    </row>
    <row r="873" s="181" customFormat="true" hidden="true" spans="1:6">
      <c r="A873" s="382">
        <v>2130505</v>
      </c>
      <c r="B873" s="426" t="s">
        <v>977</v>
      </c>
      <c r="C873" s="198"/>
      <c r="D873" s="380">
        <f t="shared" si="139"/>
        <v>0</v>
      </c>
      <c r="E873" s="395"/>
      <c r="F873" s="396"/>
    </row>
    <row r="874" s="181" customFormat="true" hidden="true" spans="1:6">
      <c r="A874" s="382">
        <v>2130506</v>
      </c>
      <c r="B874" s="426" t="s">
        <v>978</v>
      </c>
      <c r="C874" s="198"/>
      <c r="D874" s="380">
        <f t="shared" si="139"/>
        <v>0</v>
      </c>
      <c r="E874" s="395"/>
      <c r="F874" s="396"/>
    </row>
    <row r="875" s="181" customFormat="true" hidden="true" spans="1:6">
      <c r="A875" s="382">
        <v>2130507</v>
      </c>
      <c r="B875" s="426" t="s">
        <v>979</v>
      </c>
      <c r="C875" s="198"/>
      <c r="D875" s="380">
        <f t="shared" si="139"/>
        <v>0</v>
      </c>
      <c r="E875" s="395"/>
      <c r="F875" s="396"/>
    </row>
    <row r="876" s="181" customFormat="true" hidden="true" spans="1:6">
      <c r="A876" s="382">
        <v>2130508</v>
      </c>
      <c r="B876" s="426" t="s">
        <v>980</v>
      </c>
      <c r="C876" s="198"/>
      <c r="D876" s="380">
        <f t="shared" si="139"/>
        <v>0</v>
      </c>
      <c r="E876" s="395"/>
      <c r="F876" s="396"/>
    </row>
    <row r="877" s="181" customFormat="true" hidden="true" spans="1:6">
      <c r="A877" s="382">
        <v>2130550</v>
      </c>
      <c r="B877" s="426" t="s">
        <v>315</v>
      </c>
      <c r="C877" s="198"/>
      <c r="D877" s="380">
        <f t="shared" si="139"/>
        <v>0</v>
      </c>
      <c r="E877" s="395"/>
      <c r="F877" s="396"/>
    </row>
    <row r="878" s="360" customFormat="true" hidden="true" spans="1:6">
      <c r="A878" s="377">
        <v>2130599</v>
      </c>
      <c r="B878" s="424" t="s">
        <v>981</v>
      </c>
      <c r="C878" s="381">
        <v>47</v>
      </c>
      <c r="D878" s="380">
        <f t="shared" si="139"/>
        <v>0</v>
      </c>
      <c r="E878" s="224">
        <f>(D878/C878-1)</f>
        <v>-1</v>
      </c>
      <c r="F878" s="380"/>
    </row>
    <row r="879" s="181" customFormat="true" hidden="true" spans="1:8">
      <c r="A879" s="382">
        <v>21307</v>
      </c>
      <c r="B879" s="429" t="s">
        <v>982</v>
      </c>
      <c r="C879" s="400">
        <f t="shared" ref="C879:H879" si="141">SUM(C880:C885)</f>
        <v>0</v>
      </c>
      <c r="D879" s="380">
        <f t="shared" si="139"/>
        <v>0</v>
      </c>
      <c r="E879" s="395"/>
      <c r="F879" s="403">
        <f t="shared" si="141"/>
        <v>0</v>
      </c>
      <c r="G879" s="404">
        <f t="shared" si="141"/>
        <v>0</v>
      </c>
      <c r="H879" s="404">
        <f t="shared" si="141"/>
        <v>0</v>
      </c>
    </row>
    <row r="880" s="181" customFormat="true" hidden="true" spans="1:6">
      <c r="A880" s="382">
        <v>2130701</v>
      </c>
      <c r="B880" s="426" t="s">
        <v>983</v>
      </c>
      <c r="C880" s="198"/>
      <c r="D880" s="380">
        <f t="shared" si="139"/>
        <v>0</v>
      </c>
      <c r="E880" s="395"/>
      <c r="F880" s="396"/>
    </row>
    <row r="881" s="181" customFormat="true" hidden="true" spans="1:6">
      <c r="A881" s="382">
        <v>2130704</v>
      </c>
      <c r="B881" s="426" t="s">
        <v>984</v>
      </c>
      <c r="C881" s="198"/>
      <c r="D881" s="380">
        <f t="shared" si="139"/>
        <v>0</v>
      </c>
      <c r="E881" s="395"/>
      <c r="F881" s="396"/>
    </row>
    <row r="882" s="181" customFormat="true" hidden="true" spans="1:6">
      <c r="A882" s="382">
        <v>2130705</v>
      </c>
      <c r="B882" s="426" t="s">
        <v>985</v>
      </c>
      <c r="C882" s="198"/>
      <c r="D882" s="380">
        <f t="shared" si="139"/>
        <v>0</v>
      </c>
      <c r="E882" s="395"/>
      <c r="F882" s="396"/>
    </row>
    <row r="883" s="181" customFormat="true" hidden="true" spans="1:6">
      <c r="A883" s="382">
        <v>2130706</v>
      </c>
      <c r="B883" s="426" t="s">
        <v>986</v>
      </c>
      <c r="C883" s="198"/>
      <c r="D883" s="380">
        <f t="shared" si="139"/>
        <v>0</v>
      </c>
      <c r="E883" s="395"/>
      <c r="F883" s="396"/>
    </row>
    <row r="884" s="181" customFormat="true" hidden="true" spans="1:6">
      <c r="A884" s="382">
        <v>2130707</v>
      </c>
      <c r="B884" s="426" t="s">
        <v>987</v>
      </c>
      <c r="C884" s="198"/>
      <c r="D884" s="380">
        <f t="shared" si="139"/>
        <v>0</v>
      </c>
      <c r="E884" s="395"/>
      <c r="F884" s="396"/>
    </row>
    <row r="885" s="181" customFormat="true" hidden="true" spans="1:6">
      <c r="A885" s="382">
        <v>2130799</v>
      </c>
      <c r="B885" s="426" t="s">
        <v>988</v>
      </c>
      <c r="C885" s="198"/>
      <c r="D885" s="380">
        <f t="shared" si="139"/>
        <v>0</v>
      </c>
      <c r="E885" s="395"/>
      <c r="F885" s="396"/>
    </row>
    <row r="886" s="360" customFormat="true" spans="1:8">
      <c r="A886" s="377">
        <v>21308</v>
      </c>
      <c r="B886" s="424" t="s">
        <v>989</v>
      </c>
      <c r="C886" s="379">
        <f t="shared" ref="C886:H886" si="142">SUM(C887:C891)</f>
        <v>1225</v>
      </c>
      <c r="D886" s="380">
        <f t="shared" si="139"/>
        <v>1798</v>
      </c>
      <c r="E886" s="224">
        <f>(D886/C886-1)</f>
        <v>0.467755102040816</v>
      </c>
      <c r="F886" s="397">
        <f t="shared" si="142"/>
        <v>100</v>
      </c>
      <c r="G886" s="402">
        <f t="shared" si="142"/>
        <v>1240</v>
      </c>
      <c r="H886" s="402">
        <f t="shared" si="142"/>
        <v>458</v>
      </c>
    </row>
    <row r="887" s="181" customFormat="true" hidden="true" spans="1:6">
      <c r="A887" s="382">
        <v>2130801</v>
      </c>
      <c r="B887" s="426" t="s">
        <v>990</v>
      </c>
      <c r="C887" s="198">
        <v>0</v>
      </c>
      <c r="D887" s="380">
        <f t="shared" si="139"/>
        <v>0</v>
      </c>
      <c r="E887" s="395" t="e">
        <f>(C887/#REF!-1)</f>
        <v>#REF!</v>
      </c>
      <c r="F887" s="396"/>
    </row>
    <row r="888" s="360" customFormat="true" spans="1:9">
      <c r="A888" s="377">
        <v>2130803</v>
      </c>
      <c r="B888" s="424" t="s">
        <v>991</v>
      </c>
      <c r="C888" s="381">
        <f>115+115</f>
        <v>230</v>
      </c>
      <c r="D888" s="380">
        <f t="shared" si="139"/>
        <v>115</v>
      </c>
      <c r="E888" s="224">
        <f>(D888/C888-1)</f>
        <v>-0.5</v>
      </c>
      <c r="F888" s="380"/>
      <c r="G888" s="360">
        <v>115</v>
      </c>
      <c r="I888" s="360" t="s">
        <v>992</v>
      </c>
    </row>
    <row r="889" s="360" customFormat="true" spans="1:8">
      <c r="A889" s="377">
        <v>2130804</v>
      </c>
      <c r="B889" s="424" t="s">
        <v>993</v>
      </c>
      <c r="C889" s="381">
        <f>54+791</f>
        <v>845</v>
      </c>
      <c r="D889" s="380">
        <f t="shared" si="139"/>
        <v>1583</v>
      </c>
      <c r="E889" s="224">
        <f>(D889/C889-1)</f>
        <v>0.873372781065089</v>
      </c>
      <c r="F889" s="380"/>
      <c r="G889" s="360">
        <v>1125</v>
      </c>
      <c r="H889" s="360">
        <v>458</v>
      </c>
    </row>
    <row r="890" s="360" customFormat="true" hidden="true" spans="1:6">
      <c r="A890" s="377">
        <v>2130805</v>
      </c>
      <c r="B890" s="424" t="s">
        <v>994</v>
      </c>
      <c r="C890" s="381">
        <v>150</v>
      </c>
      <c r="D890" s="380">
        <f t="shared" si="139"/>
        <v>0</v>
      </c>
      <c r="E890" s="224">
        <f>(D890/C890-1)</f>
        <v>-1</v>
      </c>
      <c r="F890" s="380"/>
    </row>
    <row r="891" s="181" customFormat="true" spans="1:6">
      <c r="A891" s="382">
        <v>2130899</v>
      </c>
      <c r="B891" s="426" t="s">
        <v>995</v>
      </c>
      <c r="C891" s="198"/>
      <c r="D891" s="380">
        <f t="shared" si="139"/>
        <v>100</v>
      </c>
      <c r="E891" s="224">
        <v>0</v>
      </c>
      <c r="F891" s="396">
        <v>100</v>
      </c>
    </row>
    <row r="892" s="181" customFormat="true" hidden="true" spans="1:8">
      <c r="A892" s="382">
        <v>21309</v>
      </c>
      <c r="B892" s="429" t="s">
        <v>996</v>
      </c>
      <c r="C892" s="400">
        <f t="shared" ref="C892:H892" si="143">SUM(C893:C894)</f>
        <v>0</v>
      </c>
      <c r="D892" s="380">
        <f t="shared" si="139"/>
        <v>0</v>
      </c>
      <c r="E892" s="224"/>
      <c r="F892" s="403">
        <f t="shared" si="143"/>
        <v>0</v>
      </c>
      <c r="G892" s="404">
        <f t="shared" si="143"/>
        <v>0</v>
      </c>
      <c r="H892" s="404">
        <f t="shared" si="143"/>
        <v>0</v>
      </c>
    </row>
    <row r="893" s="181" customFormat="true" hidden="true" spans="1:6">
      <c r="A893" s="382">
        <v>2130901</v>
      </c>
      <c r="B893" s="426" t="s">
        <v>997</v>
      </c>
      <c r="C893" s="198"/>
      <c r="D893" s="380">
        <f t="shared" si="139"/>
        <v>0</v>
      </c>
      <c r="E893" s="224"/>
      <c r="F893" s="396"/>
    </row>
    <row r="894" s="181" customFormat="true" hidden="true" spans="1:6">
      <c r="A894" s="382">
        <v>2130999</v>
      </c>
      <c r="B894" s="426" t="s">
        <v>998</v>
      </c>
      <c r="C894" s="198"/>
      <c r="D894" s="380">
        <f t="shared" si="139"/>
        <v>0</v>
      </c>
      <c r="E894" s="224"/>
      <c r="F894" s="396"/>
    </row>
    <row r="895" s="181" customFormat="true" spans="1:8">
      <c r="A895" s="382">
        <v>21399</v>
      </c>
      <c r="B895" s="429" t="s">
        <v>999</v>
      </c>
      <c r="C895" s="400">
        <f t="shared" ref="C895:H895" si="144">SUM(C896:C897)</f>
        <v>0</v>
      </c>
      <c r="D895" s="380">
        <f t="shared" si="139"/>
        <v>18007</v>
      </c>
      <c r="E895" s="224">
        <v>0</v>
      </c>
      <c r="F895" s="403">
        <f t="shared" si="144"/>
        <v>0</v>
      </c>
      <c r="G895" s="404">
        <f t="shared" si="144"/>
        <v>0</v>
      </c>
      <c r="H895" s="404">
        <f t="shared" si="144"/>
        <v>18007</v>
      </c>
    </row>
    <row r="896" s="181" customFormat="true" hidden="true" spans="1:6">
      <c r="A896" s="382">
        <v>2139901</v>
      </c>
      <c r="B896" s="426" t="s">
        <v>1000</v>
      </c>
      <c r="C896" s="198"/>
      <c r="D896" s="380">
        <f t="shared" si="139"/>
        <v>0</v>
      </c>
      <c r="E896" s="224"/>
      <c r="F896" s="396"/>
    </row>
    <row r="897" s="181" customFormat="true" spans="1:8">
      <c r="A897" s="382">
        <v>2139999</v>
      </c>
      <c r="B897" s="426" t="s">
        <v>1001</v>
      </c>
      <c r="C897" s="198"/>
      <c r="D897" s="380">
        <f t="shared" si="139"/>
        <v>18007</v>
      </c>
      <c r="E897" s="224">
        <v>0</v>
      </c>
      <c r="F897" s="396"/>
      <c r="H897" s="181">
        <v>18007</v>
      </c>
    </row>
    <row r="898" s="362" customFormat="true" spans="1:8">
      <c r="A898" s="373">
        <v>214</v>
      </c>
      <c r="B898" s="425" t="s">
        <v>1002</v>
      </c>
      <c r="C898" s="375">
        <f t="shared" ref="C898:H898" si="145">SUM(C899,C921,C931,C941,C948,C953)</f>
        <v>4313</v>
      </c>
      <c r="D898" s="376">
        <f t="shared" si="139"/>
        <v>2251</v>
      </c>
      <c r="E898" s="224">
        <f>(D898/C898-1)</f>
        <v>-0.478089496869928</v>
      </c>
      <c r="F898" s="415">
        <f t="shared" si="145"/>
        <v>1322</v>
      </c>
      <c r="G898" s="362">
        <f t="shared" si="145"/>
        <v>180</v>
      </c>
      <c r="H898" s="362">
        <f t="shared" si="145"/>
        <v>749</v>
      </c>
    </row>
    <row r="899" s="360" customFormat="true" spans="1:8">
      <c r="A899" s="377">
        <v>21401</v>
      </c>
      <c r="B899" s="424" t="s">
        <v>1003</v>
      </c>
      <c r="C899" s="379">
        <f t="shared" ref="C899:H899" si="146">SUM(C900:C920)</f>
        <v>3555</v>
      </c>
      <c r="D899" s="380">
        <f t="shared" si="139"/>
        <v>2201</v>
      </c>
      <c r="E899" s="224">
        <f>(D899/C899-1)</f>
        <v>-0.380872011251758</v>
      </c>
      <c r="F899" s="397">
        <f t="shared" si="146"/>
        <v>1322</v>
      </c>
      <c r="G899" s="402">
        <f t="shared" si="146"/>
        <v>180</v>
      </c>
      <c r="H899" s="402">
        <f t="shared" si="146"/>
        <v>699</v>
      </c>
    </row>
    <row r="900" s="360" customFormat="true" spans="1:6">
      <c r="A900" s="377">
        <v>2140101</v>
      </c>
      <c r="B900" s="424" t="s">
        <v>306</v>
      </c>
      <c r="C900" s="381">
        <v>220</v>
      </c>
      <c r="D900" s="380">
        <f t="shared" si="139"/>
        <v>207</v>
      </c>
      <c r="E900" s="224">
        <f>(D900/C900-1)</f>
        <v>-0.0590909090909091</v>
      </c>
      <c r="F900" s="380">
        <v>207</v>
      </c>
    </row>
    <row r="901" s="360" customFormat="true" spans="1:6">
      <c r="A901" s="377">
        <v>2140102</v>
      </c>
      <c r="B901" s="424" t="s">
        <v>307</v>
      </c>
      <c r="C901" s="381">
        <v>73</v>
      </c>
      <c r="D901" s="380">
        <f t="shared" si="139"/>
        <v>58</v>
      </c>
      <c r="E901" s="224">
        <f>(D901/C901-1)</f>
        <v>-0.205479452054795</v>
      </c>
      <c r="F901" s="380">
        <v>58</v>
      </c>
    </row>
    <row r="902" s="181" customFormat="true" hidden="true" spans="1:6">
      <c r="A902" s="382">
        <v>2140103</v>
      </c>
      <c r="B902" s="426" t="s">
        <v>308</v>
      </c>
      <c r="C902" s="198">
        <v>0</v>
      </c>
      <c r="D902" s="380">
        <f t="shared" si="139"/>
        <v>0</v>
      </c>
      <c r="E902" s="395"/>
      <c r="F902" s="396"/>
    </row>
    <row r="903" s="181" customFormat="true" hidden="true" spans="1:6">
      <c r="A903" s="382">
        <v>2140104</v>
      </c>
      <c r="B903" s="426" t="s">
        <v>1004</v>
      </c>
      <c r="C903" s="198">
        <v>0</v>
      </c>
      <c r="D903" s="380">
        <f t="shared" si="139"/>
        <v>0</v>
      </c>
      <c r="E903" s="395"/>
      <c r="F903" s="396"/>
    </row>
    <row r="904" s="360" customFormat="true" hidden="true" spans="1:6">
      <c r="A904" s="377">
        <v>2140106</v>
      </c>
      <c r="B904" s="424" t="s">
        <v>1005</v>
      </c>
      <c r="C904" s="381">
        <v>18</v>
      </c>
      <c r="D904" s="380">
        <f t="shared" si="139"/>
        <v>0</v>
      </c>
      <c r="E904" s="224">
        <f>(D904/C904-1)</f>
        <v>-1</v>
      </c>
      <c r="F904" s="380"/>
    </row>
    <row r="905" s="181" customFormat="true" spans="1:8">
      <c r="A905" s="382">
        <v>2140109</v>
      </c>
      <c r="B905" s="426" t="s">
        <v>1006</v>
      </c>
      <c r="C905" s="198">
        <v>0</v>
      </c>
      <c r="D905" s="380">
        <f t="shared" si="139"/>
        <v>246</v>
      </c>
      <c r="E905" s="395"/>
      <c r="F905" s="396"/>
      <c r="H905" s="181">
        <v>246</v>
      </c>
    </row>
    <row r="906" s="181" customFormat="true" spans="1:8">
      <c r="A906" s="382">
        <v>2140110</v>
      </c>
      <c r="B906" s="426" t="s">
        <v>1007</v>
      </c>
      <c r="C906" s="198">
        <v>0</v>
      </c>
      <c r="D906" s="380">
        <f t="shared" ref="D906:D969" si="147">F906+G906+H906</f>
        <v>11</v>
      </c>
      <c r="E906" s="395"/>
      <c r="F906" s="396"/>
      <c r="H906" s="181">
        <v>11</v>
      </c>
    </row>
    <row r="907" s="181" customFormat="true" hidden="true" spans="1:6">
      <c r="A907" s="382">
        <v>2140111</v>
      </c>
      <c r="B907" s="426" t="s">
        <v>1008</v>
      </c>
      <c r="C907" s="198">
        <v>0</v>
      </c>
      <c r="D907" s="380">
        <f t="shared" si="147"/>
        <v>0</v>
      </c>
      <c r="E907" s="395"/>
      <c r="F907" s="396"/>
    </row>
    <row r="908" s="360" customFormat="true" spans="1:9">
      <c r="A908" s="377">
        <v>2140112</v>
      </c>
      <c r="B908" s="424" t="s">
        <v>1009</v>
      </c>
      <c r="C908" s="381">
        <f>992+330+499</f>
        <v>1821</v>
      </c>
      <c r="D908" s="380">
        <f t="shared" si="147"/>
        <v>1277</v>
      </c>
      <c r="E908" s="224">
        <f>(D908/C908-1)</f>
        <v>-0.298736957715541</v>
      </c>
      <c r="F908" s="380">
        <v>1020</v>
      </c>
      <c r="G908" s="360">
        <v>180</v>
      </c>
      <c r="H908" s="360">
        <v>77</v>
      </c>
      <c r="I908" s="360" t="s">
        <v>1010</v>
      </c>
    </row>
    <row r="909" s="181" customFormat="true" hidden="true" spans="1:6">
      <c r="A909" s="382">
        <v>2140114</v>
      </c>
      <c r="B909" s="426" t="s">
        <v>1011</v>
      </c>
      <c r="C909" s="198">
        <v>0</v>
      </c>
      <c r="D909" s="380">
        <f t="shared" si="147"/>
        <v>0</v>
      </c>
      <c r="E909" s="395"/>
      <c r="F909" s="396"/>
    </row>
    <row r="910" s="181" customFormat="true" hidden="true" spans="1:6">
      <c r="A910" s="382">
        <v>2140122</v>
      </c>
      <c r="B910" s="426" t="s">
        <v>1012</v>
      </c>
      <c r="C910" s="198">
        <v>0</v>
      </c>
      <c r="D910" s="380">
        <f t="shared" si="147"/>
        <v>0</v>
      </c>
      <c r="E910" s="395"/>
      <c r="F910" s="396"/>
    </row>
    <row r="911" s="181" customFormat="true" hidden="true" spans="1:6">
      <c r="A911" s="382">
        <v>2140123</v>
      </c>
      <c r="B911" s="426" t="s">
        <v>1013</v>
      </c>
      <c r="C911" s="198">
        <v>0</v>
      </c>
      <c r="D911" s="380">
        <f t="shared" si="147"/>
        <v>0</v>
      </c>
      <c r="E911" s="395"/>
      <c r="F911" s="396"/>
    </row>
    <row r="912" s="181" customFormat="true" hidden="true" spans="1:6">
      <c r="A912" s="382">
        <v>2140127</v>
      </c>
      <c r="B912" s="426" t="s">
        <v>1014</v>
      </c>
      <c r="C912" s="198">
        <v>0</v>
      </c>
      <c r="D912" s="380">
        <f t="shared" si="147"/>
        <v>0</v>
      </c>
      <c r="E912" s="395"/>
      <c r="F912" s="396"/>
    </row>
    <row r="913" s="181" customFormat="true" hidden="true" spans="1:6">
      <c r="A913" s="382">
        <v>2140128</v>
      </c>
      <c r="B913" s="426" t="s">
        <v>1015</v>
      </c>
      <c r="C913" s="198">
        <v>0</v>
      </c>
      <c r="D913" s="380">
        <f t="shared" si="147"/>
        <v>0</v>
      </c>
      <c r="E913" s="395"/>
      <c r="F913" s="396"/>
    </row>
    <row r="914" s="181" customFormat="true" hidden="true" spans="1:6">
      <c r="A914" s="382">
        <v>2140129</v>
      </c>
      <c r="B914" s="426" t="s">
        <v>1016</v>
      </c>
      <c r="C914" s="198">
        <v>0</v>
      </c>
      <c r="D914" s="380">
        <f t="shared" si="147"/>
        <v>0</v>
      </c>
      <c r="E914" s="395"/>
      <c r="F914" s="396"/>
    </row>
    <row r="915" s="181" customFormat="true" hidden="true" spans="1:6">
      <c r="A915" s="382">
        <v>2140130</v>
      </c>
      <c r="B915" s="426" t="s">
        <v>1017</v>
      </c>
      <c r="C915" s="198">
        <v>0</v>
      </c>
      <c r="D915" s="380">
        <f t="shared" si="147"/>
        <v>0</v>
      </c>
      <c r="E915" s="395"/>
      <c r="F915" s="396"/>
    </row>
    <row r="916" s="181" customFormat="true" hidden="true" spans="1:6">
      <c r="A916" s="382">
        <v>2140131</v>
      </c>
      <c r="B916" s="426" t="s">
        <v>1018</v>
      </c>
      <c r="C916" s="198">
        <v>0</v>
      </c>
      <c r="D916" s="380">
        <f t="shared" si="147"/>
        <v>0</v>
      </c>
      <c r="E916" s="395"/>
      <c r="F916" s="396"/>
    </row>
    <row r="917" s="181" customFormat="true" hidden="true" spans="1:6">
      <c r="A917" s="382">
        <v>2140133</v>
      </c>
      <c r="B917" s="426" t="s">
        <v>1019</v>
      </c>
      <c r="C917" s="198">
        <v>0</v>
      </c>
      <c r="D917" s="380">
        <f t="shared" si="147"/>
        <v>0</v>
      </c>
      <c r="E917" s="395"/>
      <c r="F917" s="396"/>
    </row>
    <row r="918" s="181" customFormat="true" hidden="true" spans="1:6">
      <c r="A918" s="382">
        <v>2140136</v>
      </c>
      <c r="B918" s="426" t="s">
        <v>1020</v>
      </c>
      <c r="C918" s="198">
        <v>0</v>
      </c>
      <c r="D918" s="380">
        <f t="shared" si="147"/>
        <v>0</v>
      </c>
      <c r="E918" s="395"/>
      <c r="F918" s="396"/>
    </row>
    <row r="919" s="181" customFormat="true" hidden="true" spans="1:6">
      <c r="A919" s="382">
        <v>2140138</v>
      </c>
      <c r="B919" s="426" t="s">
        <v>1021</v>
      </c>
      <c r="C919" s="198">
        <v>0</v>
      </c>
      <c r="D919" s="380">
        <f t="shared" si="147"/>
        <v>0</v>
      </c>
      <c r="E919" s="395"/>
      <c r="F919" s="396"/>
    </row>
    <row r="920" s="360" customFormat="true" spans="1:8">
      <c r="A920" s="377">
        <v>2140199</v>
      </c>
      <c r="B920" s="424" t="s">
        <v>1022</v>
      </c>
      <c r="C920" s="381">
        <f>5+1418</f>
        <v>1423</v>
      </c>
      <c r="D920" s="380">
        <f t="shared" si="147"/>
        <v>402</v>
      </c>
      <c r="E920" s="224">
        <f>(D920/C920-1)</f>
        <v>-0.717498243148278</v>
      </c>
      <c r="F920" s="380">
        <v>37</v>
      </c>
      <c r="H920" s="360">
        <v>365</v>
      </c>
    </row>
    <row r="921" s="181" customFormat="true" hidden="true" spans="1:8">
      <c r="A921" s="382">
        <v>21402</v>
      </c>
      <c r="B921" s="429" t="s">
        <v>1023</v>
      </c>
      <c r="C921" s="400">
        <f t="shared" ref="C921:H921" si="148">SUM(C922:C930)</f>
        <v>0</v>
      </c>
      <c r="D921" s="380">
        <f t="shared" si="147"/>
        <v>0</v>
      </c>
      <c r="E921" s="395"/>
      <c r="F921" s="403">
        <f t="shared" si="148"/>
        <v>0</v>
      </c>
      <c r="G921" s="404">
        <f t="shared" si="148"/>
        <v>0</v>
      </c>
      <c r="H921" s="404">
        <f t="shared" si="148"/>
        <v>0</v>
      </c>
    </row>
    <row r="922" s="181" customFormat="true" hidden="true" spans="1:6">
      <c r="A922" s="382">
        <v>2140201</v>
      </c>
      <c r="B922" s="426" t="s">
        <v>306</v>
      </c>
      <c r="C922" s="198"/>
      <c r="D922" s="380">
        <f t="shared" si="147"/>
        <v>0</v>
      </c>
      <c r="E922" s="395"/>
      <c r="F922" s="396"/>
    </row>
    <row r="923" s="181" customFormat="true" hidden="true" spans="1:6">
      <c r="A923" s="382">
        <v>2140202</v>
      </c>
      <c r="B923" s="426" t="s">
        <v>307</v>
      </c>
      <c r="C923" s="198"/>
      <c r="D923" s="380">
        <f t="shared" si="147"/>
        <v>0</v>
      </c>
      <c r="E923" s="395"/>
      <c r="F923" s="396"/>
    </row>
    <row r="924" s="181" customFormat="true" hidden="true" spans="1:6">
      <c r="A924" s="382">
        <v>2140203</v>
      </c>
      <c r="B924" s="426" t="s">
        <v>308</v>
      </c>
      <c r="C924" s="198"/>
      <c r="D924" s="380">
        <f t="shared" si="147"/>
        <v>0</v>
      </c>
      <c r="E924" s="395"/>
      <c r="F924" s="396"/>
    </row>
    <row r="925" s="181" customFormat="true" hidden="true" spans="1:6">
      <c r="A925" s="382">
        <v>2140204</v>
      </c>
      <c r="B925" s="426" t="s">
        <v>1024</v>
      </c>
      <c r="C925" s="198"/>
      <c r="D925" s="380">
        <f t="shared" si="147"/>
        <v>0</v>
      </c>
      <c r="E925" s="395"/>
      <c r="F925" s="396"/>
    </row>
    <row r="926" s="181" customFormat="true" hidden="true" spans="1:6">
      <c r="A926" s="382">
        <v>2140205</v>
      </c>
      <c r="B926" s="426" t="s">
        <v>1025</v>
      </c>
      <c r="C926" s="198"/>
      <c r="D926" s="380">
        <f t="shared" si="147"/>
        <v>0</v>
      </c>
      <c r="E926" s="395"/>
      <c r="F926" s="396"/>
    </row>
    <row r="927" s="181" customFormat="true" hidden="true" spans="1:6">
      <c r="A927" s="382">
        <v>2140206</v>
      </c>
      <c r="B927" s="426" t="s">
        <v>1026</v>
      </c>
      <c r="C927" s="198"/>
      <c r="D927" s="380">
        <f t="shared" si="147"/>
        <v>0</v>
      </c>
      <c r="E927" s="395"/>
      <c r="F927" s="396"/>
    </row>
    <row r="928" s="181" customFormat="true" hidden="true" spans="1:6">
      <c r="A928" s="382">
        <v>2140207</v>
      </c>
      <c r="B928" s="426" t="s">
        <v>1027</v>
      </c>
      <c r="C928" s="198"/>
      <c r="D928" s="380">
        <f t="shared" si="147"/>
        <v>0</v>
      </c>
      <c r="E928" s="395"/>
      <c r="F928" s="396"/>
    </row>
    <row r="929" s="181" customFormat="true" hidden="true" spans="1:6">
      <c r="A929" s="382">
        <v>2140208</v>
      </c>
      <c r="B929" s="426" t="s">
        <v>1028</v>
      </c>
      <c r="C929" s="198"/>
      <c r="D929" s="380">
        <f t="shared" si="147"/>
        <v>0</v>
      </c>
      <c r="E929" s="395"/>
      <c r="F929" s="396"/>
    </row>
    <row r="930" s="181" customFormat="true" hidden="true" spans="1:6">
      <c r="A930" s="382">
        <v>2140299</v>
      </c>
      <c r="B930" s="426" t="s">
        <v>1029</v>
      </c>
      <c r="C930" s="198"/>
      <c r="D930" s="380">
        <f t="shared" si="147"/>
        <v>0</v>
      </c>
      <c r="E930" s="395"/>
      <c r="F930" s="396"/>
    </row>
    <row r="931" s="181" customFormat="true" hidden="true" spans="1:8">
      <c r="A931" s="382">
        <v>21403</v>
      </c>
      <c r="B931" s="429" t="s">
        <v>1030</v>
      </c>
      <c r="C931" s="400">
        <f t="shared" ref="C931:H931" si="149">SUM(C932:C940)</f>
        <v>0</v>
      </c>
      <c r="D931" s="380">
        <f t="shared" si="147"/>
        <v>0</v>
      </c>
      <c r="E931" s="395" t="e">
        <f>(C931/#REF!-1)</f>
        <v>#REF!</v>
      </c>
      <c r="F931" s="403">
        <f t="shared" si="149"/>
        <v>0</v>
      </c>
      <c r="G931" s="404">
        <f t="shared" si="149"/>
        <v>0</v>
      </c>
      <c r="H931" s="404">
        <f t="shared" si="149"/>
        <v>0</v>
      </c>
    </row>
    <row r="932" s="181" customFormat="true" hidden="true" spans="1:6">
      <c r="A932" s="382">
        <v>2140301</v>
      </c>
      <c r="B932" s="426" t="s">
        <v>306</v>
      </c>
      <c r="C932" s="198"/>
      <c r="D932" s="380">
        <f t="shared" si="147"/>
        <v>0</v>
      </c>
      <c r="E932" s="395"/>
      <c r="F932" s="396"/>
    </row>
    <row r="933" s="181" customFormat="true" hidden="true" spans="1:6">
      <c r="A933" s="382">
        <v>2140302</v>
      </c>
      <c r="B933" s="426" t="s">
        <v>307</v>
      </c>
      <c r="C933" s="198"/>
      <c r="D933" s="380">
        <f t="shared" si="147"/>
        <v>0</v>
      </c>
      <c r="E933" s="395"/>
      <c r="F933" s="396"/>
    </row>
    <row r="934" s="181" customFormat="true" hidden="true" spans="1:6">
      <c r="A934" s="382">
        <v>2140303</v>
      </c>
      <c r="B934" s="426" t="s">
        <v>308</v>
      </c>
      <c r="C934" s="198"/>
      <c r="D934" s="380">
        <f t="shared" si="147"/>
        <v>0</v>
      </c>
      <c r="E934" s="395"/>
      <c r="F934" s="396"/>
    </row>
    <row r="935" s="181" customFormat="true" hidden="true" spans="1:6">
      <c r="A935" s="382">
        <v>2140304</v>
      </c>
      <c r="B935" s="426" t="s">
        <v>1031</v>
      </c>
      <c r="C935" s="198"/>
      <c r="D935" s="380">
        <f t="shared" si="147"/>
        <v>0</v>
      </c>
      <c r="E935" s="395"/>
      <c r="F935" s="396"/>
    </row>
    <row r="936" s="181" customFormat="true" hidden="true" spans="1:6">
      <c r="A936" s="382">
        <v>2140305</v>
      </c>
      <c r="B936" s="426" t="s">
        <v>1032</v>
      </c>
      <c r="C936" s="198"/>
      <c r="D936" s="380">
        <f t="shared" si="147"/>
        <v>0</v>
      </c>
      <c r="E936" s="395"/>
      <c r="F936" s="396"/>
    </row>
    <row r="937" s="181" customFormat="true" hidden="true" spans="1:6">
      <c r="A937" s="382">
        <v>2140306</v>
      </c>
      <c r="B937" s="426" t="s">
        <v>1033</v>
      </c>
      <c r="C937" s="198"/>
      <c r="D937" s="380">
        <f t="shared" si="147"/>
        <v>0</v>
      </c>
      <c r="E937" s="395"/>
      <c r="F937" s="396"/>
    </row>
    <row r="938" s="181" customFormat="true" hidden="true" spans="1:6">
      <c r="A938" s="382">
        <v>2140307</v>
      </c>
      <c r="B938" s="426" t="s">
        <v>1034</v>
      </c>
      <c r="C938" s="198"/>
      <c r="D938" s="380">
        <f t="shared" si="147"/>
        <v>0</v>
      </c>
      <c r="E938" s="395"/>
      <c r="F938" s="396"/>
    </row>
    <row r="939" s="181" customFormat="true" hidden="true" spans="1:6">
      <c r="A939" s="382">
        <v>2140308</v>
      </c>
      <c r="B939" s="426" t="s">
        <v>1035</v>
      </c>
      <c r="C939" s="198"/>
      <c r="D939" s="380">
        <f t="shared" si="147"/>
        <v>0</v>
      </c>
      <c r="E939" s="395"/>
      <c r="F939" s="396"/>
    </row>
    <row r="940" s="181" customFormat="true" hidden="true" spans="1:6">
      <c r="A940" s="382">
        <v>2140399</v>
      </c>
      <c r="B940" s="426" t="s">
        <v>1036</v>
      </c>
      <c r="C940" s="198"/>
      <c r="D940" s="380">
        <f t="shared" si="147"/>
        <v>0</v>
      </c>
      <c r="E940" s="395" t="e">
        <f>(C940/#REF!-1)</f>
        <v>#REF!</v>
      </c>
      <c r="F940" s="396"/>
    </row>
    <row r="941" s="360" customFormat="true" hidden="true" spans="1:8">
      <c r="A941" s="377">
        <v>21405</v>
      </c>
      <c r="B941" s="424" t="s">
        <v>1037</v>
      </c>
      <c r="C941" s="379">
        <f t="shared" ref="C941:H941" si="150">SUM(C942:C947)</f>
        <v>30</v>
      </c>
      <c r="D941" s="380">
        <f t="shared" si="147"/>
        <v>0</v>
      </c>
      <c r="E941" s="224">
        <f>(D941/C941-1)</f>
        <v>-1</v>
      </c>
      <c r="F941" s="397">
        <f t="shared" si="150"/>
        <v>0</v>
      </c>
      <c r="G941" s="402">
        <f t="shared" si="150"/>
        <v>0</v>
      </c>
      <c r="H941" s="402">
        <f t="shared" si="150"/>
        <v>0</v>
      </c>
    </row>
    <row r="942" s="181" customFormat="true" hidden="true" spans="1:6">
      <c r="A942" s="382">
        <v>2140501</v>
      </c>
      <c r="B942" s="426" t="s">
        <v>306</v>
      </c>
      <c r="C942" s="198"/>
      <c r="D942" s="380">
        <f t="shared" si="147"/>
        <v>0</v>
      </c>
      <c r="E942" s="395"/>
      <c r="F942" s="396"/>
    </row>
    <row r="943" s="181" customFormat="true" hidden="true" spans="1:6">
      <c r="A943" s="382">
        <v>2140502</v>
      </c>
      <c r="B943" s="426" t="s">
        <v>307</v>
      </c>
      <c r="C943" s="198"/>
      <c r="D943" s="380">
        <f t="shared" si="147"/>
        <v>0</v>
      </c>
      <c r="E943" s="395"/>
      <c r="F943" s="396"/>
    </row>
    <row r="944" s="181" customFormat="true" hidden="true" spans="1:6">
      <c r="A944" s="382">
        <v>2140503</v>
      </c>
      <c r="B944" s="426" t="s">
        <v>308</v>
      </c>
      <c r="C944" s="198"/>
      <c r="D944" s="380">
        <f t="shared" si="147"/>
        <v>0</v>
      </c>
      <c r="E944" s="395"/>
      <c r="F944" s="396"/>
    </row>
    <row r="945" s="181" customFormat="true" hidden="true" spans="1:6">
      <c r="A945" s="382">
        <v>2140504</v>
      </c>
      <c r="B945" s="426" t="s">
        <v>1028</v>
      </c>
      <c r="C945" s="198"/>
      <c r="D945" s="380">
        <f t="shared" si="147"/>
        <v>0</v>
      </c>
      <c r="E945" s="395"/>
      <c r="F945" s="396"/>
    </row>
    <row r="946" s="181" customFormat="true" hidden="true" spans="1:6">
      <c r="A946" s="382">
        <v>2140505</v>
      </c>
      <c r="B946" s="426" t="s">
        <v>1038</v>
      </c>
      <c r="C946" s="198"/>
      <c r="D946" s="380">
        <f t="shared" si="147"/>
        <v>0</v>
      </c>
      <c r="E946" s="395"/>
      <c r="F946" s="396"/>
    </row>
    <row r="947" s="360" customFormat="true" hidden="true" spans="1:6">
      <c r="A947" s="377">
        <v>2140599</v>
      </c>
      <c r="B947" s="424" t="s">
        <v>1039</v>
      </c>
      <c r="C947" s="381">
        <v>30</v>
      </c>
      <c r="D947" s="380">
        <f t="shared" si="147"/>
        <v>0</v>
      </c>
      <c r="E947" s="224">
        <f>(D947/C947-1)</f>
        <v>-1</v>
      </c>
      <c r="F947" s="380"/>
    </row>
    <row r="948" s="181" customFormat="true" hidden="true" spans="1:8">
      <c r="A948" s="382">
        <v>21406</v>
      </c>
      <c r="B948" s="429" t="s">
        <v>1040</v>
      </c>
      <c r="C948" s="400">
        <f t="shared" ref="C948:H948" si="151">SUM(C949:C952)</f>
        <v>0</v>
      </c>
      <c r="D948" s="380">
        <f t="shared" si="147"/>
        <v>0</v>
      </c>
      <c r="E948" s="395"/>
      <c r="F948" s="403">
        <f t="shared" si="151"/>
        <v>0</v>
      </c>
      <c r="G948" s="404">
        <f t="shared" si="151"/>
        <v>0</v>
      </c>
      <c r="H948" s="404">
        <f t="shared" si="151"/>
        <v>0</v>
      </c>
    </row>
    <row r="949" s="181" customFormat="true" hidden="true" spans="1:6">
      <c r="A949" s="382">
        <v>2140601</v>
      </c>
      <c r="B949" s="426" t="s">
        <v>1041</v>
      </c>
      <c r="C949" s="198"/>
      <c r="D949" s="380">
        <f t="shared" si="147"/>
        <v>0</v>
      </c>
      <c r="E949" s="395"/>
      <c r="F949" s="396"/>
    </row>
    <row r="950" s="181" customFormat="true" hidden="true" spans="1:6">
      <c r="A950" s="382">
        <v>2140602</v>
      </c>
      <c r="B950" s="426" t="s">
        <v>1042</v>
      </c>
      <c r="C950" s="198"/>
      <c r="D950" s="380">
        <f t="shared" si="147"/>
        <v>0</v>
      </c>
      <c r="E950" s="395"/>
      <c r="F950" s="396"/>
    </row>
    <row r="951" s="181" customFormat="true" hidden="true" spans="1:6">
      <c r="A951" s="382">
        <v>2140603</v>
      </c>
      <c r="B951" s="426" t="s">
        <v>1043</v>
      </c>
      <c r="C951" s="198"/>
      <c r="D951" s="380">
        <f t="shared" si="147"/>
        <v>0</v>
      </c>
      <c r="E951" s="395"/>
      <c r="F951" s="396"/>
    </row>
    <row r="952" s="181" customFormat="true" hidden="true" spans="1:6">
      <c r="A952" s="382">
        <v>2140699</v>
      </c>
      <c r="B952" s="426" t="s">
        <v>1044</v>
      </c>
      <c r="C952" s="198"/>
      <c r="D952" s="380">
        <f t="shared" si="147"/>
        <v>0</v>
      </c>
      <c r="E952" s="395"/>
      <c r="F952" s="396"/>
    </row>
    <row r="953" s="360" customFormat="true" spans="1:8">
      <c r="A953" s="377">
        <v>21499</v>
      </c>
      <c r="B953" s="424" t="s">
        <v>1045</v>
      </c>
      <c r="C953" s="379">
        <f t="shared" ref="C953:H953" si="152">SUM(C954:C955)</f>
        <v>728</v>
      </c>
      <c r="D953" s="380">
        <f t="shared" si="147"/>
        <v>50</v>
      </c>
      <c r="E953" s="224">
        <f>(D953/C953-1)</f>
        <v>-0.931318681318681</v>
      </c>
      <c r="F953" s="397">
        <f t="shared" si="152"/>
        <v>0</v>
      </c>
      <c r="G953" s="402">
        <f t="shared" si="152"/>
        <v>0</v>
      </c>
      <c r="H953" s="402">
        <f t="shared" si="152"/>
        <v>50</v>
      </c>
    </row>
    <row r="954" s="360" customFormat="true" hidden="true" spans="1:6">
      <c r="A954" s="377">
        <v>2149901</v>
      </c>
      <c r="B954" s="424" t="s">
        <v>1046</v>
      </c>
      <c r="C954" s="381">
        <v>700</v>
      </c>
      <c r="D954" s="380">
        <f t="shared" si="147"/>
        <v>0</v>
      </c>
      <c r="E954" s="224">
        <f>(D954/C954-1)</f>
        <v>-1</v>
      </c>
      <c r="F954" s="380"/>
    </row>
    <row r="955" s="360" customFormat="true" spans="1:8">
      <c r="A955" s="377">
        <v>2149999</v>
      </c>
      <c r="B955" s="424" t="s">
        <v>1047</v>
      </c>
      <c r="C955" s="381">
        <v>28</v>
      </c>
      <c r="D955" s="380">
        <f t="shared" si="147"/>
        <v>50</v>
      </c>
      <c r="E955" s="224">
        <f>(D955/C955-1)</f>
        <v>0.785714285714286</v>
      </c>
      <c r="F955" s="380"/>
      <c r="H955" s="360">
        <v>50</v>
      </c>
    </row>
    <row r="956" s="362" customFormat="true" spans="1:8">
      <c r="A956" s="373">
        <v>215</v>
      </c>
      <c r="B956" s="425" t="s">
        <v>1048</v>
      </c>
      <c r="C956" s="375">
        <f t="shared" ref="C956:H956" si="153">SUM(C957,C967,C983,C988,C999,C1006,C1014)</f>
        <v>3146</v>
      </c>
      <c r="D956" s="376">
        <f t="shared" si="147"/>
        <v>2489</v>
      </c>
      <c r="E956" s="224">
        <f>(D956/C956-1)</f>
        <v>-0.208836617927527</v>
      </c>
      <c r="F956" s="415">
        <f t="shared" si="153"/>
        <v>728</v>
      </c>
      <c r="G956" s="362">
        <f t="shared" si="153"/>
        <v>0</v>
      </c>
      <c r="H956" s="362">
        <f t="shared" si="153"/>
        <v>1761</v>
      </c>
    </row>
    <row r="957" s="181" customFormat="true" spans="1:8">
      <c r="A957" s="382">
        <v>21501</v>
      </c>
      <c r="B957" s="429" t="s">
        <v>1049</v>
      </c>
      <c r="C957" s="400">
        <f t="shared" ref="C957:H957" si="154">SUM(C958:C966)</f>
        <v>0</v>
      </c>
      <c r="D957" s="380">
        <f t="shared" si="147"/>
        <v>1</v>
      </c>
      <c r="E957" s="395"/>
      <c r="F957" s="403">
        <f t="shared" si="154"/>
        <v>0</v>
      </c>
      <c r="G957" s="404">
        <f t="shared" si="154"/>
        <v>0</v>
      </c>
      <c r="H957" s="404">
        <f t="shared" si="154"/>
        <v>1</v>
      </c>
    </row>
    <row r="958" s="181" customFormat="true" spans="1:8">
      <c r="A958" s="382">
        <v>2150101</v>
      </c>
      <c r="B958" s="426" t="s">
        <v>306</v>
      </c>
      <c r="C958" s="198"/>
      <c r="D958" s="380">
        <f t="shared" si="147"/>
        <v>1</v>
      </c>
      <c r="E958" s="395"/>
      <c r="F958" s="396"/>
      <c r="H958" s="181">
        <v>1</v>
      </c>
    </row>
    <row r="959" s="181" customFormat="true" hidden="true" spans="1:6">
      <c r="A959" s="382">
        <v>2150102</v>
      </c>
      <c r="B959" s="426" t="s">
        <v>307</v>
      </c>
      <c r="C959" s="198"/>
      <c r="D959" s="380">
        <f t="shared" si="147"/>
        <v>0</v>
      </c>
      <c r="E959" s="395"/>
      <c r="F959" s="396"/>
    </row>
    <row r="960" s="181" customFormat="true" hidden="true" spans="1:6">
      <c r="A960" s="382">
        <v>2150103</v>
      </c>
      <c r="B960" s="426" t="s">
        <v>308</v>
      </c>
      <c r="C960" s="198"/>
      <c r="D960" s="380">
        <f t="shared" si="147"/>
        <v>0</v>
      </c>
      <c r="E960" s="395"/>
      <c r="F960" s="396"/>
    </row>
    <row r="961" s="181" customFormat="true" hidden="true" spans="1:6">
      <c r="A961" s="382">
        <v>2150104</v>
      </c>
      <c r="B961" s="426" t="s">
        <v>1050</v>
      </c>
      <c r="C961" s="198"/>
      <c r="D961" s="380">
        <f t="shared" si="147"/>
        <v>0</v>
      </c>
      <c r="E961" s="395"/>
      <c r="F961" s="396"/>
    </row>
    <row r="962" s="181" customFormat="true" hidden="true" spans="1:6">
      <c r="A962" s="382">
        <v>2150105</v>
      </c>
      <c r="B962" s="426" t="s">
        <v>1051</v>
      </c>
      <c r="C962" s="198"/>
      <c r="D962" s="380">
        <f t="shared" si="147"/>
        <v>0</v>
      </c>
      <c r="E962" s="395"/>
      <c r="F962" s="396"/>
    </row>
    <row r="963" s="181" customFormat="true" hidden="true" spans="1:6">
      <c r="A963" s="382">
        <v>2150106</v>
      </c>
      <c r="B963" s="426" t="s">
        <v>1052</v>
      </c>
      <c r="C963" s="198"/>
      <c r="D963" s="380">
        <f t="shared" si="147"/>
        <v>0</v>
      </c>
      <c r="E963" s="395"/>
      <c r="F963" s="396"/>
    </row>
    <row r="964" s="181" customFormat="true" hidden="true" spans="1:6">
      <c r="A964" s="382">
        <v>2150107</v>
      </c>
      <c r="B964" s="426" t="s">
        <v>1053</v>
      </c>
      <c r="C964" s="198"/>
      <c r="D964" s="380">
        <f t="shared" si="147"/>
        <v>0</v>
      </c>
      <c r="E964" s="395"/>
      <c r="F964" s="396"/>
    </row>
    <row r="965" s="181" customFormat="true" hidden="true" spans="1:6">
      <c r="A965" s="382">
        <v>2150108</v>
      </c>
      <c r="B965" s="426" t="s">
        <v>1054</v>
      </c>
      <c r="C965" s="198"/>
      <c r="D965" s="380">
        <f t="shared" si="147"/>
        <v>0</v>
      </c>
      <c r="E965" s="395"/>
      <c r="F965" s="396"/>
    </row>
    <row r="966" s="181" customFormat="true" hidden="true" spans="1:6">
      <c r="A966" s="382">
        <v>2150199</v>
      </c>
      <c r="B966" s="426" t="s">
        <v>1055</v>
      </c>
      <c r="C966" s="198"/>
      <c r="D966" s="380">
        <f t="shared" si="147"/>
        <v>0</v>
      </c>
      <c r="E966" s="395"/>
      <c r="F966" s="396"/>
    </row>
    <row r="967" s="360" customFormat="true" hidden="true" spans="1:8">
      <c r="A967" s="377">
        <v>21502</v>
      </c>
      <c r="B967" s="424" t="s">
        <v>1056</v>
      </c>
      <c r="C967" s="379">
        <f t="shared" ref="C967:H967" si="155">SUM(C968:C982)</f>
        <v>587</v>
      </c>
      <c r="D967" s="380">
        <f t="shared" si="147"/>
        <v>0</v>
      </c>
      <c r="E967" s="224">
        <f>(D967/C967-1)</f>
        <v>-1</v>
      </c>
      <c r="F967" s="397">
        <f t="shared" si="155"/>
        <v>0</v>
      </c>
      <c r="G967" s="402">
        <f t="shared" si="155"/>
        <v>0</v>
      </c>
      <c r="H967" s="402">
        <f t="shared" si="155"/>
        <v>0</v>
      </c>
    </row>
    <row r="968" s="181" customFormat="true" hidden="true" spans="1:6">
      <c r="A968" s="382">
        <v>2150501</v>
      </c>
      <c r="B968" s="426" t="s">
        <v>306</v>
      </c>
      <c r="C968" s="198"/>
      <c r="D968" s="380">
        <f t="shared" si="147"/>
        <v>0</v>
      </c>
      <c r="E968" s="395"/>
      <c r="F968" s="396"/>
    </row>
    <row r="969" s="181" customFormat="true" hidden="true" spans="1:6">
      <c r="A969" s="382">
        <v>2150502</v>
      </c>
      <c r="B969" s="426" t="s">
        <v>307</v>
      </c>
      <c r="C969" s="198"/>
      <c r="D969" s="380">
        <f t="shared" si="147"/>
        <v>0</v>
      </c>
      <c r="E969" s="395"/>
      <c r="F969" s="396"/>
    </row>
    <row r="970" s="181" customFormat="true" hidden="true" spans="1:6">
      <c r="A970" s="382">
        <v>2150503</v>
      </c>
      <c r="B970" s="426" t="s">
        <v>308</v>
      </c>
      <c r="C970" s="198"/>
      <c r="D970" s="380">
        <f t="shared" ref="D970:D1033" si="156">F970+G970+H970</f>
        <v>0</v>
      </c>
      <c r="E970" s="395"/>
      <c r="F970" s="396"/>
    </row>
    <row r="971" s="181" customFormat="true" hidden="true" spans="1:6">
      <c r="A971" s="382">
        <v>2150504</v>
      </c>
      <c r="B971" s="426" t="s">
        <v>1057</v>
      </c>
      <c r="C971" s="198"/>
      <c r="D971" s="380">
        <f t="shared" si="156"/>
        <v>0</v>
      </c>
      <c r="E971" s="395"/>
      <c r="F971" s="396"/>
    </row>
    <row r="972" s="181" customFormat="true" hidden="true" spans="1:6">
      <c r="A972" s="382">
        <v>2150505</v>
      </c>
      <c r="B972" s="426" t="s">
        <v>1058</v>
      </c>
      <c r="C972" s="198"/>
      <c r="D972" s="380">
        <f t="shared" si="156"/>
        <v>0</v>
      </c>
      <c r="E972" s="395"/>
      <c r="F972" s="396"/>
    </row>
    <row r="973" s="181" customFormat="true" hidden="true" spans="1:6">
      <c r="A973" s="382">
        <v>2150506</v>
      </c>
      <c r="B973" s="426" t="s">
        <v>1059</v>
      </c>
      <c r="C973" s="198"/>
      <c r="D973" s="380">
        <f t="shared" si="156"/>
        <v>0</v>
      </c>
      <c r="E973" s="395"/>
      <c r="F973" s="396"/>
    </row>
    <row r="974" s="181" customFormat="true" hidden="true" spans="1:6">
      <c r="A974" s="382">
        <v>2150507</v>
      </c>
      <c r="B974" s="426" t="s">
        <v>1060</v>
      </c>
      <c r="C974" s="198"/>
      <c r="D974" s="380">
        <f t="shared" si="156"/>
        <v>0</v>
      </c>
      <c r="E974" s="395"/>
      <c r="F974" s="396"/>
    </row>
    <row r="975" s="181" customFormat="true" hidden="true" spans="1:6">
      <c r="A975" s="382">
        <v>2150508</v>
      </c>
      <c r="B975" s="426" t="s">
        <v>1061</v>
      </c>
      <c r="C975" s="198"/>
      <c r="D975" s="380">
        <f t="shared" si="156"/>
        <v>0</v>
      </c>
      <c r="E975" s="395"/>
      <c r="F975" s="396"/>
    </row>
    <row r="976" s="181" customFormat="true" hidden="true" spans="1:6">
      <c r="A976" s="382">
        <v>2150509</v>
      </c>
      <c r="B976" s="426" t="s">
        <v>1062</v>
      </c>
      <c r="C976" s="198"/>
      <c r="D976" s="380">
        <f t="shared" si="156"/>
        <v>0</v>
      </c>
      <c r="E976" s="395"/>
      <c r="F976" s="396"/>
    </row>
    <row r="977" s="181" customFormat="true" hidden="true" spans="1:6">
      <c r="A977" s="382">
        <v>2150510</v>
      </c>
      <c r="B977" s="426" t="s">
        <v>1063</v>
      </c>
      <c r="C977" s="198"/>
      <c r="D977" s="380">
        <f t="shared" si="156"/>
        <v>0</v>
      </c>
      <c r="E977" s="395"/>
      <c r="F977" s="396"/>
    </row>
    <row r="978" s="181" customFormat="true" hidden="true" spans="1:6">
      <c r="A978" s="382">
        <v>2150512</v>
      </c>
      <c r="B978" s="426" t="s">
        <v>1064</v>
      </c>
      <c r="C978" s="198"/>
      <c r="D978" s="380">
        <f t="shared" si="156"/>
        <v>0</v>
      </c>
      <c r="E978" s="395"/>
      <c r="F978" s="396"/>
    </row>
    <row r="979" s="181" customFormat="true" hidden="true" spans="1:6">
      <c r="A979" s="382">
        <v>2150513</v>
      </c>
      <c r="B979" s="426" t="s">
        <v>1065</v>
      </c>
      <c r="C979" s="198"/>
      <c r="D979" s="380">
        <f t="shared" si="156"/>
        <v>0</v>
      </c>
      <c r="E979" s="395"/>
      <c r="F979" s="396"/>
    </row>
    <row r="980" s="181" customFormat="true" hidden="true" spans="1:6">
      <c r="A980" s="382">
        <v>2150514</v>
      </c>
      <c r="B980" s="426" t="s">
        <v>1066</v>
      </c>
      <c r="C980" s="198"/>
      <c r="D980" s="380">
        <f t="shared" si="156"/>
        <v>0</v>
      </c>
      <c r="E980" s="395"/>
      <c r="F980" s="396"/>
    </row>
    <row r="981" s="181" customFormat="true" hidden="true" spans="1:6">
      <c r="A981" s="382">
        <v>2150515</v>
      </c>
      <c r="B981" s="426" t="s">
        <v>1067</v>
      </c>
      <c r="C981" s="198"/>
      <c r="D981" s="380">
        <f t="shared" si="156"/>
        <v>0</v>
      </c>
      <c r="E981" s="395"/>
      <c r="F981" s="396"/>
    </row>
    <row r="982" s="360" customFormat="true" hidden="true" spans="1:6">
      <c r="A982" s="377">
        <v>2150599</v>
      </c>
      <c r="B982" s="424" t="s">
        <v>1068</v>
      </c>
      <c r="C982" s="381">
        <v>587</v>
      </c>
      <c r="D982" s="380">
        <f t="shared" si="156"/>
        <v>0</v>
      </c>
      <c r="E982" s="224">
        <f>(D982/C982-1)</f>
        <v>-1</v>
      </c>
      <c r="F982" s="380"/>
    </row>
    <row r="983" s="181" customFormat="true" hidden="true" spans="1:8">
      <c r="A983" s="382">
        <v>21503</v>
      </c>
      <c r="B983" s="429" t="s">
        <v>1069</v>
      </c>
      <c r="C983" s="400">
        <f t="shared" ref="C983:H983" si="157">SUM(C984:C987)</f>
        <v>0</v>
      </c>
      <c r="D983" s="380">
        <f t="shared" si="156"/>
        <v>0</v>
      </c>
      <c r="E983" s="395"/>
      <c r="F983" s="403">
        <f t="shared" si="157"/>
        <v>0</v>
      </c>
      <c r="G983" s="404">
        <f t="shared" si="157"/>
        <v>0</v>
      </c>
      <c r="H983" s="404">
        <f t="shared" si="157"/>
        <v>0</v>
      </c>
    </row>
    <row r="984" s="181" customFormat="true" hidden="true" spans="1:6">
      <c r="A984" s="382">
        <v>2150301</v>
      </c>
      <c r="B984" s="426" t="s">
        <v>306</v>
      </c>
      <c r="C984" s="198"/>
      <c r="D984" s="380">
        <f t="shared" si="156"/>
        <v>0</v>
      </c>
      <c r="E984" s="395"/>
      <c r="F984" s="396"/>
    </row>
    <row r="985" s="181" customFormat="true" hidden="true" spans="1:6">
      <c r="A985" s="382">
        <v>2150302</v>
      </c>
      <c r="B985" s="426" t="s">
        <v>307</v>
      </c>
      <c r="C985" s="198"/>
      <c r="D985" s="380">
        <f t="shared" si="156"/>
        <v>0</v>
      </c>
      <c r="E985" s="395"/>
      <c r="F985" s="396"/>
    </row>
    <row r="986" s="181" customFormat="true" hidden="true" spans="1:6">
      <c r="A986" s="382">
        <v>2150303</v>
      </c>
      <c r="B986" s="426" t="s">
        <v>308</v>
      </c>
      <c r="C986" s="198"/>
      <c r="D986" s="380">
        <f t="shared" si="156"/>
        <v>0</v>
      </c>
      <c r="E986" s="395"/>
      <c r="F986" s="396"/>
    </row>
    <row r="987" s="181" customFormat="true" hidden="true" spans="1:6">
      <c r="A987" s="382">
        <v>2150399</v>
      </c>
      <c r="B987" s="426" t="s">
        <v>1070</v>
      </c>
      <c r="C987" s="198"/>
      <c r="D987" s="380">
        <f t="shared" si="156"/>
        <v>0</v>
      </c>
      <c r="E987" s="395"/>
      <c r="F987" s="396"/>
    </row>
    <row r="988" s="360" customFormat="true" spans="1:8">
      <c r="A988" s="377">
        <v>21505</v>
      </c>
      <c r="B988" s="424" t="s">
        <v>1071</v>
      </c>
      <c r="C988" s="379">
        <f t="shared" ref="C988:H988" si="158">SUM(C989:C998)</f>
        <v>2290</v>
      </c>
      <c r="D988" s="380">
        <f t="shared" si="156"/>
        <v>2230</v>
      </c>
      <c r="E988" s="224">
        <f>(D988/C988-1)</f>
        <v>-0.0262008733624454</v>
      </c>
      <c r="F988" s="397">
        <f t="shared" si="158"/>
        <v>488</v>
      </c>
      <c r="G988" s="402">
        <f t="shared" si="158"/>
        <v>0</v>
      </c>
      <c r="H988" s="402">
        <f t="shared" si="158"/>
        <v>1742</v>
      </c>
    </row>
    <row r="989" s="360" customFormat="true" spans="1:6">
      <c r="A989" s="377">
        <v>2150501</v>
      </c>
      <c r="B989" s="424" t="s">
        <v>306</v>
      </c>
      <c r="C989" s="381">
        <v>252</v>
      </c>
      <c r="D989" s="380">
        <f t="shared" si="156"/>
        <v>312</v>
      </c>
      <c r="E989" s="224">
        <f>(D989/C989-1)</f>
        <v>0.238095238095238</v>
      </c>
      <c r="F989" s="380">
        <v>312</v>
      </c>
    </row>
    <row r="990" s="360" customFormat="true" spans="1:6">
      <c r="A990" s="377">
        <v>2150502</v>
      </c>
      <c r="B990" s="424" t="s">
        <v>307</v>
      </c>
      <c r="C990" s="381">
        <v>40</v>
      </c>
      <c r="D990" s="380">
        <f t="shared" si="156"/>
        <v>32</v>
      </c>
      <c r="E990" s="224">
        <f>(D990/C990-1)</f>
        <v>-0.2</v>
      </c>
      <c r="F990" s="380">
        <v>32</v>
      </c>
    </row>
    <row r="991" s="181" customFormat="true" hidden="true" spans="1:6">
      <c r="A991" s="382">
        <v>2150503</v>
      </c>
      <c r="B991" s="426" t="s">
        <v>308</v>
      </c>
      <c r="C991" s="198">
        <v>0</v>
      </c>
      <c r="D991" s="380">
        <f t="shared" si="156"/>
        <v>0</v>
      </c>
      <c r="E991" s="395"/>
      <c r="F991" s="396"/>
    </row>
    <row r="992" s="181" customFormat="true" hidden="true" spans="1:6">
      <c r="A992" s="382">
        <v>2150505</v>
      </c>
      <c r="B992" s="426" t="s">
        <v>1072</v>
      </c>
      <c r="C992" s="198">
        <v>0</v>
      </c>
      <c r="D992" s="380">
        <f t="shared" si="156"/>
        <v>0</v>
      </c>
      <c r="E992" s="395"/>
      <c r="F992" s="396"/>
    </row>
    <row r="993" s="181" customFormat="true" hidden="true" spans="1:6">
      <c r="A993" s="382">
        <v>2150507</v>
      </c>
      <c r="B993" s="426" t="s">
        <v>1073</v>
      </c>
      <c r="C993" s="198">
        <v>0</v>
      </c>
      <c r="D993" s="380">
        <f t="shared" si="156"/>
        <v>0</v>
      </c>
      <c r="E993" s="395"/>
      <c r="F993" s="396"/>
    </row>
    <row r="994" s="181" customFormat="true" hidden="true" spans="1:6">
      <c r="A994" s="382">
        <v>2150508</v>
      </c>
      <c r="B994" s="426" t="s">
        <v>1074</v>
      </c>
      <c r="C994" s="198">
        <v>0</v>
      </c>
      <c r="D994" s="380">
        <f t="shared" si="156"/>
        <v>0</v>
      </c>
      <c r="E994" s="395"/>
      <c r="F994" s="396"/>
    </row>
    <row r="995" s="181" customFormat="true" hidden="true" spans="1:6">
      <c r="A995" s="382">
        <v>2150516</v>
      </c>
      <c r="B995" s="426" t="s">
        <v>1075</v>
      </c>
      <c r="C995" s="198">
        <v>0</v>
      </c>
      <c r="D995" s="380">
        <f t="shared" si="156"/>
        <v>0</v>
      </c>
      <c r="E995" s="395"/>
      <c r="F995" s="396"/>
    </row>
    <row r="996" s="360" customFormat="true" spans="1:8">
      <c r="A996" s="377">
        <v>2150517</v>
      </c>
      <c r="B996" s="424" t="s">
        <v>1076</v>
      </c>
      <c r="C996" s="381">
        <v>1854</v>
      </c>
      <c r="D996" s="380">
        <f t="shared" si="156"/>
        <v>1740</v>
      </c>
      <c r="E996" s="224">
        <f>(D996/C996-1)</f>
        <v>-0.0614886731391586</v>
      </c>
      <c r="F996" s="380"/>
      <c r="H996" s="360">
        <v>1740</v>
      </c>
    </row>
    <row r="997" s="181" customFormat="true" hidden="true" spans="1:6">
      <c r="A997" s="382">
        <v>2150550</v>
      </c>
      <c r="B997" s="426" t="s">
        <v>315</v>
      </c>
      <c r="C997" s="198">
        <v>0</v>
      </c>
      <c r="D997" s="380">
        <f t="shared" si="156"/>
        <v>0</v>
      </c>
      <c r="E997" s="395"/>
      <c r="F997" s="396"/>
    </row>
    <row r="998" s="360" customFormat="true" spans="1:8">
      <c r="A998" s="377">
        <v>2150599</v>
      </c>
      <c r="B998" s="424" t="s">
        <v>1077</v>
      </c>
      <c r="C998" s="381">
        <v>144</v>
      </c>
      <c r="D998" s="380">
        <f t="shared" si="156"/>
        <v>146</v>
      </c>
      <c r="E998" s="224">
        <f>(D998/C998-1)</f>
        <v>0.0138888888888888</v>
      </c>
      <c r="F998" s="380">
        <v>144</v>
      </c>
      <c r="H998" s="360">
        <v>2</v>
      </c>
    </row>
    <row r="999" s="360" customFormat="true" spans="1:8">
      <c r="A999" s="377">
        <v>21507</v>
      </c>
      <c r="B999" s="424" t="s">
        <v>1078</v>
      </c>
      <c r="C999" s="379">
        <f t="shared" ref="C999:H999" si="159">SUM(C1000:C1005)</f>
        <v>239</v>
      </c>
      <c r="D999" s="380">
        <f t="shared" si="156"/>
        <v>258</v>
      </c>
      <c r="E999" s="224">
        <f>(D999/C999-1)</f>
        <v>0.0794979079497908</v>
      </c>
      <c r="F999" s="397">
        <f t="shared" si="159"/>
        <v>240</v>
      </c>
      <c r="G999" s="402">
        <f t="shared" si="159"/>
        <v>0</v>
      </c>
      <c r="H999" s="402">
        <f t="shared" si="159"/>
        <v>18</v>
      </c>
    </row>
    <row r="1000" s="181" customFormat="true" hidden="true" spans="1:6">
      <c r="A1000" s="382">
        <v>2150701</v>
      </c>
      <c r="B1000" s="426" t="s">
        <v>306</v>
      </c>
      <c r="C1000" s="198"/>
      <c r="D1000" s="380">
        <f t="shared" si="156"/>
        <v>0</v>
      </c>
      <c r="E1000" s="395"/>
      <c r="F1000" s="396"/>
    </row>
    <row r="1001" s="181" customFormat="true" hidden="true" spans="1:6">
      <c r="A1001" s="382">
        <v>2150702</v>
      </c>
      <c r="B1001" s="426" t="s">
        <v>307</v>
      </c>
      <c r="C1001" s="198"/>
      <c r="D1001" s="380">
        <f t="shared" si="156"/>
        <v>0</v>
      </c>
      <c r="E1001" s="395"/>
      <c r="F1001" s="396"/>
    </row>
    <row r="1002" s="181" customFormat="true" hidden="true" spans="1:6">
      <c r="A1002" s="382">
        <v>2150703</v>
      </c>
      <c r="B1002" s="426" t="s">
        <v>308</v>
      </c>
      <c r="C1002" s="198"/>
      <c r="D1002" s="380">
        <f t="shared" si="156"/>
        <v>0</v>
      </c>
      <c r="E1002" s="395"/>
      <c r="F1002" s="396"/>
    </row>
    <row r="1003" s="181" customFormat="true" hidden="true" spans="1:6">
      <c r="A1003" s="382">
        <v>2150704</v>
      </c>
      <c r="B1003" s="426" t="s">
        <v>1079</v>
      </c>
      <c r="C1003" s="198"/>
      <c r="D1003" s="380">
        <f t="shared" si="156"/>
        <v>0</v>
      </c>
      <c r="E1003" s="395"/>
      <c r="F1003" s="396"/>
    </row>
    <row r="1004" s="181" customFormat="true" hidden="true" spans="1:6">
      <c r="A1004" s="382">
        <v>2150705</v>
      </c>
      <c r="B1004" s="426" t="s">
        <v>1080</v>
      </c>
      <c r="C1004" s="198"/>
      <c r="D1004" s="380">
        <f t="shared" si="156"/>
        <v>0</v>
      </c>
      <c r="E1004" s="395"/>
      <c r="F1004" s="396"/>
    </row>
    <row r="1005" s="360" customFormat="true" spans="1:8">
      <c r="A1005" s="377">
        <v>2150799</v>
      </c>
      <c r="B1005" s="424" t="s">
        <v>1081</v>
      </c>
      <c r="C1005" s="381">
        <v>239</v>
      </c>
      <c r="D1005" s="380">
        <f t="shared" si="156"/>
        <v>258</v>
      </c>
      <c r="E1005" s="224">
        <f>(D1005/C1005-1)</f>
        <v>0.0794979079497908</v>
      </c>
      <c r="F1005" s="380">
        <v>240</v>
      </c>
      <c r="H1005" s="360">
        <v>18</v>
      </c>
    </row>
    <row r="1006" s="360" customFormat="true" hidden="true" spans="1:8">
      <c r="A1006" s="377">
        <v>21508</v>
      </c>
      <c r="B1006" s="424" t="s">
        <v>1082</v>
      </c>
      <c r="C1006" s="379">
        <f t="shared" ref="C1006:H1006" si="160">SUM(C1007:C1013)</f>
        <v>30</v>
      </c>
      <c r="D1006" s="380">
        <f t="shared" si="156"/>
        <v>0</v>
      </c>
      <c r="E1006" s="224">
        <f>(D1006/C1006-1)</f>
        <v>-1</v>
      </c>
      <c r="F1006" s="397">
        <f t="shared" si="160"/>
        <v>0</v>
      </c>
      <c r="G1006" s="402">
        <f t="shared" si="160"/>
        <v>0</v>
      </c>
      <c r="H1006" s="402">
        <f t="shared" si="160"/>
        <v>0</v>
      </c>
    </row>
    <row r="1007" s="181" customFormat="true" hidden="true" spans="1:6">
      <c r="A1007" s="382">
        <v>2150801</v>
      </c>
      <c r="B1007" s="426" t="s">
        <v>306</v>
      </c>
      <c r="C1007" s="198"/>
      <c r="D1007" s="380">
        <f t="shared" si="156"/>
        <v>0</v>
      </c>
      <c r="E1007" s="395"/>
      <c r="F1007" s="396"/>
    </row>
    <row r="1008" s="181" customFormat="true" hidden="true" spans="1:6">
      <c r="A1008" s="382">
        <v>2150802</v>
      </c>
      <c r="B1008" s="426" t="s">
        <v>307</v>
      </c>
      <c r="C1008" s="198"/>
      <c r="D1008" s="380">
        <f t="shared" si="156"/>
        <v>0</v>
      </c>
      <c r="E1008" s="395"/>
      <c r="F1008" s="396"/>
    </row>
    <row r="1009" s="181" customFormat="true" hidden="true" spans="1:6">
      <c r="A1009" s="382">
        <v>2150803</v>
      </c>
      <c r="B1009" s="426" t="s">
        <v>308</v>
      </c>
      <c r="C1009" s="198"/>
      <c r="D1009" s="380">
        <f t="shared" si="156"/>
        <v>0</v>
      </c>
      <c r="E1009" s="395"/>
      <c r="F1009" s="396"/>
    </row>
    <row r="1010" s="181" customFormat="true" hidden="true" spans="1:6">
      <c r="A1010" s="382">
        <v>2150804</v>
      </c>
      <c r="B1010" s="426" t="s">
        <v>1083</v>
      </c>
      <c r="C1010" s="198"/>
      <c r="D1010" s="380">
        <f t="shared" si="156"/>
        <v>0</v>
      </c>
      <c r="E1010" s="395"/>
      <c r="F1010" s="396"/>
    </row>
    <row r="1011" s="360" customFormat="true" hidden="true" spans="1:6">
      <c r="A1011" s="377">
        <v>2150805</v>
      </c>
      <c r="B1011" s="424" t="s">
        <v>1084</v>
      </c>
      <c r="C1011" s="381">
        <v>30</v>
      </c>
      <c r="D1011" s="380">
        <f t="shared" si="156"/>
        <v>0</v>
      </c>
      <c r="E1011" s="224">
        <f>(D1011/C1011-1)</f>
        <v>-1</v>
      </c>
      <c r="F1011" s="380"/>
    </row>
    <row r="1012" s="181" customFormat="true" hidden="true" spans="1:6">
      <c r="A1012" s="382">
        <v>2150806</v>
      </c>
      <c r="B1012" s="426" t="s">
        <v>1085</v>
      </c>
      <c r="C1012" s="198"/>
      <c r="D1012" s="380">
        <f t="shared" si="156"/>
        <v>0</v>
      </c>
      <c r="E1012" s="395"/>
      <c r="F1012" s="396"/>
    </row>
    <row r="1013" s="181" customFormat="true" hidden="true" spans="1:6">
      <c r="A1013" s="382">
        <v>2150899</v>
      </c>
      <c r="B1013" s="426" t="s">
        <v>1086</v>
      </c>
      <c r="C1013" s="198"/>
      <c r="D1013" s="380">
        <f t="shared" si="156"/>
        <v>0</v>
      </c>
      <c r="E1013" s="395"/>
      <c r="F1013" s="396"/>
    </row>
    <row r="1014" s="181" customFormat="true" hidden="true" spans="1:8">
      <c r="A1014" s="382">
        <v>21599</v>
      </c>
      <c r="B1014" s="429" t="s">
        <v>1087</v>
      </c>
      <c r="C1014" s="400">
        <f t="shared" ref="C1014:H1014" si="161">SUM(C1015:C1019)</f>
        <v>0</v>
      </c>
      <c r="D1014" s="380">
        <f t="shared" si="156"/>
        <v>0</v>
      </c>
      <c r="E1014" s="395"/>
      <c r="F1014" s="403">
        <f t="shared" si="161"/>
        <v>0</v>
      </c>
      <c r="G1014" s="404">
        <f t="shared" si="161"/>
        <v>0</v>
      </c>
      <c r="H1014" s="404">
        <f t="shared" si="161"/>
        <v>0</v>
      </c>
    </row>
    <row r="1015" s="181" customFormat="true" hidden="true" spans="1:6">
      <c r="A1015" s="382">
        <v>2159901</v>
      </c>
      <c r="B1015" s="426" t="s">
        <v>1088</v>
      </c>
      <c r="C1015" s="198"/>
      <c r="D1015" s="380">
        <f t="shared" si="156"/>
        <v>0</v>
      </c>
      <c r="E1015" s="395"/>
      <c r="F1015" s="396"/>
    </row>
    <row r="1016" s="181" customFormat="true" hidden="true" spans="1:6">
      <c r="A1016" s="382">
        <v>2159904</v>
      </c>
      <c r="B1016" s="426" t="s">
        <v>1089</v>
      </c>
      <c r="C1016" s="198"/>
      <c r="D1016" s="380">
        <f t="shared" si="156"/>
        <v>0</v>
      </c>
      <c r="E1016" s="395"/>
      <c r="F1016" s="396"/>
    </row>
    <row r="1017" s="181" customFormat="true" hidden="true" spans="1:6">
      <c r="A1017" s="382">
        <v>2159905</v>
      </c>
      <c r="B1017" s="426" t="s">
        <v>1090</v>
      </c>
      <c r="C1017" s="198"/>
      <c r="D1017" s="380">
        <f t="shared" si="156"/>
        <v>0</v>
      </c>
      <c r="E1017" s="395"/>
      <c r="F1017" s="396"/>
    </row>
    <row r="1018" s="181" customFormat="true" hidden="true" spans="1:6">
      <c r="A1018" s="382">
        <v>2159906</v>
      </c>
      <c r="B1018" s="426" t="s">
        <v>1091</v>
      </c>
      <c r="C1018" s="198"/>
      <c r="D1018" s="380">
        <f t="shared" si="156"/>
        <v>0</v>
      </c>
      <c r="E1018" s="395"/>
      <c r="F1018" s="396"/>
    </row>
    <row r="1019" s="181" customFormat="true" hidden="true" spans="1:6">
      <c r="A1019" s="382">
        <v>2159999</v>
      </c>
      <c r="B1019" s="426" t="s">
        <v>1092</v>
      </c>
      <c r="C1019" s="198"/>
      <c r="D1019" s="380">
        <f t="shared" si="156"/>
        <v>0</v>
      </c>
      <c r="E1019" s="395"/>
      <c r="F1019" s="396"/>
    </row>
    <row r="1020" s="362" customFormat="true" spans="1:8">
      <c r="A1020" s="373">
        <v>216</v>
      </c>
      <c r="B1020" s="425" t="s">
        <v>1093</v>
      </c>
      <c r="C1020" s="375">
        <f t="shared" ref="C1020:H1020" si="162">SUM(C1021,C1031,C1037)</f>
        <v>2488</v>
      </c>
      <c r="D1020" s="376">
        <f t="shared" si="156"/>
        <v>996</v>
      </c>
      <c r="E1020" s="224">
        <f>(D1020/C1020-1)</f>
        <v>-0.59967845659164</v>
      </c>
      <c r="F1020" s="415">
        <f t="shared" si="162"/>
        <v>97</v>
      </c>
      <c r="G1020" s="362">
        <f t="shared" si="162"/>
        <v>132</v>
      </c>
      <c r="H1020" s="362">
        <f t="shared" si="162"/>
        <v>767</v>
      </c>
    </row>
    <row r="1021" s="360" customFormat="true" spans="1:8">
      <c r="A1021" s="377">
        <v>21602</v>
      </c>
      <c r="B1021" s="424" t="s">
        <v>1094</v>
      </c>
      <c r="C1021" s="379">
        <f t="shared" ref="C1021:H1021" si="163">SUM(C1022:C1030)</f>
        <v>1952</v>
      </c>
      <c r="D1021" s="380">
        <f t="shared" si="156"/>
        <v>258</v>
      </c>
      <c r="E1021" s="224">
        <f>(D1021/C1021-1)</f>
        <v>-0.867827868852459</v>
      </c>
      <c r="F1021" s="397">
        <f t="shared" si="163"/>
        <v>97</v>
      </c>
      <c r="G1021" s="402">
        <f t="shared" si="163"/>
        <v>0</v>
      </c>
      <c r="H1021" s="402">
        <f t="shared" si="163"/>
        <v>161</v>
      </c>
    </row>
    <row r="1022" s="360" customFormat="true" spans="1:6">
      <c r="A1022" s="377">
        <v>2160201</v>
      </c>
      <c r="B1022" s="424" t="s">
        <v>306</v>
      </c>
      <c r="C1022" s="381">
        <v>103</v>
      </c>
      <c r="D1022" s="380">
        <f t="shared" si="156"/>
        <v>88</v>
      </c>
      <c r="E1022" s="224">
        <f>(D1022/C1022-1)</f>
        <v>-0.145631067961165</v>
      </c>
      <c r="F1022" s="380">
        <v>88</v>
      </c>
    </row>
    <row r="1023" s="360" customFormat="true" spans="1:6">
      <c r="A1023" s="377">
        <v>2160202</v>
      </c>
      <c r="B1023" s="424" t="s">
        <v>307</v>
      </c>
      <c r="C1023" s="381">
        <v>10</v>
      </c>
      <c r="D1023" s="380">
        <f t="shared" si="156"/>
        <v>9</v>
      </c>
      <c r="E1023" s="224">
        <f>(D1023/C1023-1)</f>
        <v>-0.1</v>
      </c>
      <c r="F1023" s="380">
        <v>9</v>
      </c>
    </row>
    <row r="1024" s="181" customFormat="true" hidden="true" spans="1:6">
      <c r="A1024" s="382">
        <v>2160203</v>
      </c>
      <c r="B1024" s="426" t="s">
        <v>308</v>
      </c>
      <c r="C1024" s="198">
        <v>0</v>
      </c>
      <c r="D1024" s="380">
        <f t="shared" si="156"/>
        <v>0</v>
      </c>
      <c r="E1024" s="395"/>
      <c r="F1024" s="396"/>
    </row>
    <row r="1025" s="181" customFormat="true" hidden="true" spans="1:6">
      <c r="A1025" s="382">
        <v>2160216</v>
      </c>
      <c r="B1025" s="426" t="s">
        <v>1095</v>
      </c>
      <c r="C1025" s="198">
        <v>0</v>
      </c>
      <c r="D1025" s="380">
        <f t="shared" si="156"/>
        <v>0</v>
      </c>
      <c r="E1025" s="395"/>
      <c r="F1025" s="396"/>
    </row>
    <row r="1026" s="181" customFormat="true" hidden="true" spans="1:6">
      <c r="A1026" s="382">
        <v>2160217</v>
      </c>
      <c r="B1026" s="426" t="s">
        <v>1096</v>
      </c>
      <c r="C1026" s="198">
        <v>0</v>
      </c>
      <c r="D1026" s="380">
        <f t="shared" si="156"/>
        <v>0</v>
      </c>
      <c r="E1026" s="395"/>
      <c r="F1026" s="396"/>
    </row>
    <row r="1027" s="181" customFormat="true" hidden="true" spans="1:6">
      <c r="A1027" s="382">
        <v>2160218</v>
      </c>
      <c r="B1027" s="426" t="s">
        <v>1097</v>
      </c>
      <c r="C1027" s="198">
        <v>0</v>
      </c>
      <c r="D1027" s="380">
        <f t="shared" si="156"/>
        <v>0</v>
      </c>
      <c r="E1027" s="395"/>
      <c r="F1027" s="396"/>
    </row>
    <row r="1028" s="360" customFormat="true" hidden="true" spans="1:6">
      <c r="A1028" s="377">
        <v>2160219</v>
      </c>
      <c r="B1028" s="424" t="s">
        <v>1098</v>
      </c>
      <c r="C1028" s="381">
        <v>853</v>
      </c>
      <c r="D1028" s="380">
        <f t="shared" si="156"/>
        <v>0</v>
      </c>
      <c r="E1028" s="224">
        <f>(D1028/C1028-1)</f>
        <v>-1</v>
      </c>
      <c r="F1028" s="380"/>
    </row>
    <row r="1029" s="181" customFormat="true" hidden="true" spans="1:6">
      <c r="A1029" s="382">
        <v>2160250</v>
      </c>
      <c r="B1029" s="426" t="s">
        <v>315</v>
      </c>
      <c r="C1029" s="198">
        <v>0</v>
      </c>
      <c r="D1029" s="380">
        <f t="shared" si="156"/>
        <v>0</v>
      </c>
      <c r="E1029" s="395"/>
      <c r="F1029" s="396"/>
    </row>
    <row r="1030" s="360" customFormat="true" spans="1:8">
      <c r="A1030" s="377">
        <v>2160299</v>
      </c>
      <c r="B1030" s="424" t="s">
        <v>1099</v>
      </c>
      <c r="C1030" s="381">
        <v>986</v>
      </c>
      <c r="D1030" s="380">
        <f t="shared" si="156"/>
        <v>161</v>
      </c>
      <c r="E1030" s="224">
        <f>(D1030/C1030-1)</f>
        <v>-0.836713995943205</v>
      </c>
      <c r="F1030" s="380"/>
      <c r="H1030" s="360">
        <v>161</v>
      </c>
    </row>
    <row r="1031" s="360" customFormat="true" spans="1:8">
      <c r="A1031" s="377">
        <v>21606</v>
      </c>
      <c r="B1031" s="424" t="s">
        <v>1100</v>
      </c>
      <c r="C1031" s="379">
        <f t="shared" ref="C1031:H1031" si="164">SUM(C1032:C1036)</f>
        <v>410</v>
      </c>
      <c r="D1031" s="380">
        <f t="shared" si="156"/>
        <v>275</v>
      </c>
      <c r="E1031" s="224">
        <f>(D1031/C1031-1)</f>
        <v>-0.329268292682927</v>
      </c>
      <c r="F1031" s="397">
        <f t="shared" si="164"/>
        <v>0</v>
      </c>
      <c r="G1031" s="402">
        <f t="shared" si="164"/>
        <v>132</v>
      </c>
      <c r="H1031" s="402">
        <f t="shared" si="164"/>
        <v>143</v>
      </c>
    </row>
    <row r="1032" s="181" customFormat="true" hidden="true" spans="1:6">
      <c r="A1032" s="382">
        <v>2160601</v>
      </c>
      <c r="B1032" s="426" t="s">
        <v>306</v>
      </c>
      <c r="C1032" s="198">
        <v>0</v>
      </c>
      <c r="D1032" s="380">
        <f t="shared" si="156"/>
        <v>0</v>
      </c>
      <c r="E1032" s="395"/>
      <c r="F1032" s="396"/>
    </row>
    <row r="1033" s="181" customFormat="true" hidden="true" spans="1:6">
      <c r="A1033" s="382">
        <v>2160602</v>
      </c>
      <c r="B1033" s="426" t="s">
        <v>307</v>
      </c>
      <c r="C1033" s="198">
        <v>0</v>
      </c>
      <c r="D1033" s="380">
        <f t="shared" si="156"/>
        <v>0</v>
      </c>
      <c r="E1033" s="395"/>
      <c r="F1033" s="396"/>
    </row>
    <row r="1034" s="181" customFormat="true" hidden="true" spans="1:6">
      <c r="A1034" s="382">
        <v>2160603</v>
      </c>
      <c r="B1034" s="426" t="s">
        <v>308</v>
      </c>
      <c r="C1034" s="198">
        <v>0</v>
      </c>
      <c r="D1034" s="380">
        <f t="shared" ref="D1034:D1097" si="165">F1034+G1034+H1034</f>
        <v>0</v>
      </c>
      <c r="E1034" s="395"/>
      <c r="F1034" s="396"/>
    </row>
    <row r="1035" s="181" customFormat="true" hidden="true" spans="1:6">
      <c r="A1035" s="382">
        <v>2160607</v>
      </c>
      <c r="B1035" s="426" t="s">
        <v>1101</v>
      </c>
      <c r="C1035" s="198">
        <v>0</v>
      </c>
      <c r="D1035" s="380">
        <f t="shared" si="165"/>
        <v>0</v>
      </c>
      <c r="E1035" s="395"/>
      <c r="F1035" s="396"/>
    </row>
    <row r="1036" s="360" customFormat="true" spans="1:9">
      <c r="A1036" s="377">
        <v>2160699</v>
      </c>
      <c r="B1036" s="424" t="s">
        <v>1102</v>
      </c>
      <c r="C1036" s="381">
        <f>286+124</f>
        <v>410</v>
      </c>
      <c r="D1036" s="380">
        <f t="shared" si="165"/>
        <v>275</v>
      </c>
      <c r="E1036" s="224">
        <f>(D1036/C1036-1)</f>
        <v>-0.329268292682927</v>
      </c>
      <c r="F1036" s="380"/>
      <c r="G1036" s="360">
        <v>132</v>
      </c>
      <c r="H1036" s="360">
        <v>143</v>
      </c>
      <c r="I1036" s="360" t="s">
        <v>1103</v>
      </c>
    </row>
    <row r="1037" s="360" customFormat="true" spans="1:8">
      <c r="A1037" s="377">
        <v>21699</v>
      </c>
      <c r="B1037" s="424" t="s">
        <v>1104</v>
      </c>
      <c r="C1037" s="379">
        <f t="shared" ref="C1037:H1037" si="166">SUM(C1038:C1039)</f>
        <v>126</v>
      </c>
      <c r="D1037" s="380">
        <f t="shared" si="165"/>
        <v>463</v>
      </c>
      <c r="E1037" s="224">
        <f>(D1037/C1037-1)</f>
        <v>2.67460317460317</v>
      </c>
      <c r="F1037" s="397">
        <f t="shared" si="166"/>
        <v>0</v>
      </c>
      <c r="G1037" s="402">
        <f t="shared" si="166"/>
        <v>0</v>
      </c>
      <c r="H1037" s="402">
        <f t="shared" si="166"/>
        <v>463</v>
      </c>
    </row>
    <row r="1038" s="181" customFormat="true" hidden="true" spans="1:6">
      <c r="A1038" s="382">
        <v>2169901</v>
      </c>
      <c r="B1038" s="426" t="s">
        <v>1105</v>
      </c>
      <c r="C1038" s="198"/>
      <c r="D1038" s="380">
        <f t="shared" si="165"/>
        <v>0</v>
      </c>
      <c r="E1038" s="395"/>
      <c r="F1038" s="396"/>
    </row>
    <row r="1039" s="360" customFormat="true" spans="1:8">
      <c r="A1039" s="377">
        <v>2169999</v>
      </c>
      <c r="B1039" s="424" t="s">
        <v>1106</v>
      </c>
      <c r="C1039" s="381">
        <v>126</v>
      </c>
      <c r="D1039" s="380">
        <f t="shared" si="165"/>
        <v>463</v>
      </c>
      <c r="E1039" s="224">
        <f>(D1039/C1039-1)</f>
        <v>2.67460317460317</v>
      </c>
      <c r="F1039" s="380"/>
      <c r="H1039" s="360">
        <v>463</v>
      </c>
    </row>
    <row r="1040" s="362" customFormat="true" spans="1:8">
      <c r="A1040" s="373">
        <v>217</v>
      </c>
      <c r="B1040" s="425" t="s">
        <v>1107</v>
      </c>
      <c r="C1040" s="375">
        <f t="shared" ref="C1040:H1040" si="167">SUM(C1041,C1048,C1058,C1064,C1067)</f>
        <v>115</v>
      </c>
      <c r="D1040" s="376">
        <f t="shared" si="165"/>
        <v>184</v>
      </c>
      <c r="E1040" s="224">
        <f>(D1040/C1040-1)</f>
        <v>0.6</v>
      </c>
      <c r="F1040" s="415">
        <f t="shared" si="167"/>
        <v>179</v>
      </c>
      <c r="G1040" s="362">
        <f t="shared" si="167"/>
        <v>0</v>
      </c>
      <c r="H1040" s="362">
        <f t="shared" si="167"/>
        <v>5</v>
      </c>
    </row>
    <row r="1041" s="360" customFormat="true" spans="1:8">
      <c r="A1041" s="377">
        <v>21701</v>
      </c>
      <c r="B1041" s="424" t="s">
        <v>1108</v>
      </c>
      <c r="C1041" s="379">
        <f t="shared" ref="C1041:H1041" si="168">SUM(C1042:C1047)</f>
        <v>115</v>
      </c>
      <c r="D1041" s="380">
        <f t="shared" si="165"/>
        <v>184</v>
      </c>
      <c r="E1041" s="224">
        <f>(D1041/C1041-1)</f>
        <v>0.6</v>
      </c>
      <c r="F1041" s="397">
        <f t="shared" si="168"/>
        <v>179</v>
      </c>
      <c r="G1041" s="402">
        <f t="shared" si="168"/>
        <v>0</v>
      </c>
      <c r="H1041" s="402">
        <f t="shared" si="168"/>
        <v>5</v>
      </c>
    </row>
    <row r="1042" s="360" customFormat="true" spans="1:6">
      <c r="A1042" s="377">
        <v>2170101</v>
      </c>
      <c r="B1042" s="424" t="s">
        <v>306</v>
      </c>
      <c r="C1042" s="381">
        <v>95</v>
      </c>
      <c r="D1042" s="380">
        <f t="shared" si="165"/>
        <v>160</v>
      </c>
      <c r="E1042" s="224">
        <f>(D1042/C1042-1)</f>
        <v>0.684210526315789</v>
      </c>
      <c r="F1042" s="380">
        <v>160</v>
      </c>
    </row>
    <row r="1043" s="360" customFormat="true" spans="1:8">
      <c r="A1043" s="377">
        <v>2170102</v>
      </c>
      <c r="B1043" s="424" t="s">
        <v>307</v>
      </c>
      <c r="C1043" s="381">
        <v>20</v>
      </c>
      <c r="D1043" s="380">
        <f t="shared" si="165"/>
        <v>24</v>
      </c>
      <c r="E1043" s="224">
        <f>(D1043/C1043-1)</f>
        <v>0.2</v>
      </c>
      <c r="F1043" s="380">
        <v>19</v>
      </c>
      <c r="H1043" s="360">
        <v>5</v>
      </c>
    </row>
    <row r="1044" s="181" customFormat="true" hidden="true" spans="1:6">
      <c r="A1044" s="382">
        <v>2170103</v>
      </c>
      <c r="B1044" s="426" t="s">
        <v>308</v>
      </c>
      <c r="C1044" s="198"/>
      <c r="D1044" s="380">
        <f t="shared" si="165"/>
        <v>0</v>
      </c>
      <c r="E1044" s="395"/>
      <c r="F1044" s="396"/>
    </row>
    <row r="1045" s="181" customFormat="true" hidden="true" spans="1:6">
      <c r="A1045" s="382">
        <v>2170104</v>
      </c>
      <c r="B1045" s="426" t="s">
        <v>1109</v>
      </c>
      <c r="C1045" s="198"/>
      <c r="D1045" s="380">
        <f t="shared" si="165"/>
        <v>0</v>
      </c>
      <c r="E1045" s="395"/>
      <c r="F1045" s="396"/>
    </row>
    <row r="1046" s="181" customFormat="true" hidden="true" spans="1:6">
      <c r="A1046" s="382">
        <v>2170150</v>
      </c>
      <c r="B1046" s="426" t="s">
        <v>315</v>
      </c>
      <c r="C1046" s="198"/>
      <c r="D1046" s="380">
        <f t="shared" si="165"/>
        <v>0</v>
      </c>
      <c r="E1046" s="395"/>
      <c r="F1046" s="396"/>
    </row>
    <row r="1047" s="181" customFormat="true" hidden="true" spans="1:6">
      <c r="A1047" s="382">
        <v>2170199</v>
      </c>
      <c r="B1047" s="426" t="s">
        <v>1110</v>
      </c>
      <c r="C1047" s="198"/>
      <c r="D1047" s="380">
        <f t="shared" si="165"/>
        <v>0</v>
      </c>
      <c r="E1047" s="395"/>
      <c r="F1047" s="396"/>
    </row>
    <row r="1048" s="181" customFormat="true" hidden="true" spans="1:8">
      <c r="A1048" s="382">
        <v>21702</v>
      </c>
      <c r="B1048" s="429" t="s">
        <v>1111</v>
      </c>
      <c r="C1048" s="400">
        <f t="shared" ref="C1048:H1048" si="169">SUM(C1049:C1057)</f>
        <v>0</v>
      </c>
      <c r="D1048" s="380">
        <f t="shared" si="165"/>
        <v>0</v>
      </c>
      <c r="E1048" s="395" t="e">
        <f>(C1048/#REF!-1)</f>
        <v>#REF!</v>
      </c>
      <c r="F1048" s="403">
        <f t="shared" si="169"/>
        <v>0</v>
      </c>
      <c r="G1048" s="404">
        <f t="shared" si="169"/>
        <v>0</v>
      </c>
      <c r="H1048" s="404">
        <f t="shared" si="169"/>
        <v>0</v>
      </c>
    </row>
    <row r="1049" s="181" customFormat="true" hidden="true" spans="1:6">
      <c r="A1049" s="382">
        <v>2170201</v>
      </c>
      <c r="B1049" s="426" t="s">
        <v>1112</v>
      </c>
      <c r="C1049" s="198"/>
      <c r="D1049" s="380">
        <f t="shared" si="165"/>
        <v>0</v>
      </c>
      <c r="E1049" s="395"/>
      <c r="F1049" s="396"/>
    </row>
    <row r="1050" s="181" customFormat="true" hidden="true" spans="1:6">
      <c r="A1050" s="382">
        <v>2170202</v>
      </c>
      <c r="B1050" s="426" t="s">
        <v>1113</v>
      </c>
      <c r="C1050" s="198"/>
      <c r="D1050" s="380">
        <f t="shared" si="165"/>
        <v>0</v>
      </c>
      <c r="E1050" s="395"/>
      <c r="F1050" s="396"/>
    </row>
    <row r="1051" s="181" customFormat="true" hidden="true" spans="1:6">
      <c r="A1051" s="382">
        <v>2170203</v>
      </c>
      <c r="B1051" s="426" t="s">
        <v>1114</v>
      </c>
      <c r="C1051" s="198"/>
      <c r="D1051" s="380">
        <f t="shared" si="165"/>
        <v>0</v>
      </c>
      <c r="E1051" s="395"/>
      <c r="F1051" s="396"/>
    </row>
    <row r="1052" s="181" customFormat="true" hidden="true" spans="1:6">
      <c r="A1052" s="382">
        <v>2170204</v>
      </c>
      <c r="B1052" s="426" t="s">
        <v>1115</v>
      </c>
      <c r="C1052" s="198"/>
      <c r="D1052" s="380">
        <f t="shared" si="165"/>
        <v>0</v>
      </c>
      <c r="E1052" s="395"/>
      <c r="F1052" s="396"/>
    </row>
    <row r="1053" s="181" customFormat="true" hidden="true" spans="1:6">
      <c r="A1053" s="382">
        <v>2170205</v>
      </c>
      <c r="B1053" s="426" t="s">
        <v>1116</v>
      </c>
      <c r="C1053" s="198"/>
      <c r="D1053" s="380">
        <f t="shared" si="165"/>
        <v>0</v>
      </c>
      <c r="E1053" s="395"/>
      <c r="F1053" s="396"/>
    </row>
    <row r="1054" s="181" customFormat="true" hidden="true" spans="1:6">
      <c r="A1054" s="382">
        <v>2170206</v>
      </c>
      <c r="B1054" s="426" t="s">
        <v>1117</v>
      </c>
      <c r="C1054" s="198"/>
      <c r="D1054" s="380">
        <f t="shared" si="165"/>
        <v>0</v>
      </c>
      <c r="E1054" s="395"/>
      <c r="F1054" s="396"/>
    </row>
    <row r="1055" s="181" customFormat="true" hidden="true" spans="1:6">
      <c r="A1055" s="382">
        <v>2170207</v>
      </c>
      <c r="B1055" s="426" t="s">
        <v>1118</v>
      </c>
      <c r="C1055" s="198"/>
      <c r="D1055" s="380">
        <f t="shared" si="165"/>
        <v>0</v>
      </c>
      <c r="E1055" s="395"/>
      <c r="F1055" s="396"/>
    </row>
    <row r="1056" s="181" customFormat="true" hidden="true" spans="1:6">
      <c r="A1056" s="382">
        <v>2170208</v>
      </c>
      <c r="B1056" s="426" t="s">
        <v>1119</v>
      </c>
      <c r="C1056" s="198"/>
      <c r="D1056" s="380">
        <f t="shared" si="165"/>
        <v>0</v>
      </c>
      <c r="E1056" s="395"/>
      <c r="F1056" s="396"/>
    </row>
    <row r="1057" s="181" customFormat="true" hidden="true" spans="1:6">
      <c r="A1057" s="382">
        <v>2170299</v>
      </c>
      <c r="B1057" s="426" t="s">
        <v>1120</v>
      </c>
      <c r="C1057" s="198"/>
      <c r="D1057" s="380">
        <f t="shared" si="165"/>
        <v>0</v>
      </c>
      <c r="E1057" s="395" t="e">
        <f>(C1057/#REF!-1)</f>
        <v>#REF!</v>
      </c>
      <c r="F1057" s="396"/>
    </row>
    <row r="1058" s="181" customFormat="true" hidden="true" spans="1:8">
      <c r="A1058" s="382">
        <v>21703</v>
      </c>
      <c r="B1058" s="429" t="s">
        <v>1121</v>
      </c>
      <c r="C1058" s="400">
        <f t="shared" ref="C1058:H1058" si="170">SUM(C1059:C1063)</f>
        <v>0</v>
      </c>
      <c r="D1058" s="380">
        <f t="shared" si="165"/>
        <v>0</v>
      </c>
      <c r="E1058" s="395" t="e">
        <f>(C1058/#REF!-1)</f>
        <v>#REF!</v>
      </c>
      <c r="F1058" s="403">
        <f t="shared" si="170"/>
        <v>0</v>
      </c>
      <c r="G1058" s="404">
        <f t="shared" si="170"/>
        <v>0</v>
      </c>
      <c r="H1058" s="404">
        <f t="shared" si="170"/>
        <v>0</v>
      </c>
    </row>
    <row r="1059" s="181" customFormat="true" hidden="true" spans="1:6">
      <c r="A1059" s="382">
        <v>2170301</v>
      </c>
      <c r="B1059" s="426" t="s">
        <v>1122</v>
      </c>
      <c r="C1059" s="198"/>
      <c r="D1059" s="380">
        <f t="shared" si="165"/>
        <v>0</v>
      </c>
      <c r="E1059" s="395"/>
      <c r="F1059" s="396"/>
    </row>
    <row r="1060" s="181" customFormat="true" hidden="true" spans="1:6">
      <c r="A1060" s="382">
        <v>2170302</v>
      </c>
      <c r="B1060" s="434" t="s">
        <v>1123</v>
      </c>
      <c r="C1060" s="198"/>
      <c r="D1060" s="380">
        <f t="shared" si="165"/>
        <v>0</v>
      </c>
      <c r="E1060" s="395"/>
      <c r="F1060" s="396"/>
    </row>
    <row r="1061" s="181" customFormat="true" hidden="true" spans="1:6">
      <c r="A1061" s="382">
        <v>2170303</v>
      </c>
      <c r="B1061" s="426" t="s">
        <v>1124</v>
      </c>
      <c r="C1061" s="198"/>
      <c r="D1061" s="380">
        <f t="shared" si="165"/>
        <v>0</v>
      </c>
      <c r="E1061" s="395"/>
      <c r="F1061" s="396"/>
    </row>
    <row r="1062" s="181" customFormat="true" hidden="true" spans="1:6">
      <c r="A1062" s="382">
        <v>2170304</v>
      </c>
      <c r="B1062" s="426" t="s">
        <v>1125</v>
      </c>
      <c r="C1062" s="198"/>
      <c r="D1062" s="380">
        <f t="shared" si="165"/>
        <v>0</v>
      </c>
      <c r="E1062" s="395"/>
      <c r="F1062" s="396"/>
    </row>
    <row r="1063" s="181" customFormat="true" hidden="true" spans="1:6">
      <c r="A1063" s="382">
        <v>2170399</v>
      </c>
      <c r="B1063" s="426" t="s">
        <v>1126</v>
      </c>
      <c r="C1063" s="198"/>
      <c r="D1063" s="380">
        <f t="shared" si="165"/>
        <v>0</v>
      </c>
      <c r="E1063" s="395" t="e">
        <f>(C1063/#REF!-1)</f>
        <v>#REF!</v>
      </c>
      <c r="F1063" s="396"/>
    </row>
    <row r="1064" s="181" customFormat="true" hidden="true" spans="1:8">
      <c r="A1064" s="382">
        <v>21704</v>
      </c>
      <c r="B1064" s="429" t="s">
        <v>1127</v>
      </c>
      <c r="C1064" s="400">
        <f t="shared" ref="C1064:H1064" si="171">SUM(C1065:C1066)</f>
        <v>0</v>
      </c>
      <c r="D1064" s="380">
        <f t="shared" si="165"/>
        <v>0</v>
      </c>
      <c r="E1064" s="395"/>
      <c r="F1064" s="403">
        <f t="shared" si="171"/>
        <v>0</v>
      </c>
      <c r="G1064" s="404">
        <f t="shared" si="171"/>
        <v>0</v>
      </c>
      <c r="H1064" s="404">
        <f t="shared" si="171"/>
        <v>0</v>
      </c>
    </row>
    <row r="1065" s="181" customFormat="true" hidden="true" spans="1:6">
      <c r="A1065" s="382">
        <v>2170401</v>
      </c>
      <c r="B1065" s="426" t="s">
        <v>1128</v>
      </c>
      <c r="C1065" s="198"/>
      <c r="D1065" s="380">
        <f t="shared" si="165"/>
        <v>0</v>
      </c>
      <c r="E1065" s="395"/>
      <c r="F1065" s="396"/>
    </row>
    <row r="1066" s="181" customFormat="true" hidden="true" spans="1:6">
      <c r="A1066" s="382">
        <v>2170499</v>
      </c>
      <c r="B1066" s="426" t="s">
        <v>1129</v>
      </c>
      <c r="C1066" s="198"/>
      <c r="D1066" s="380">
        <f t="shared" si="165"/>
        <v>0</v>
      </c>
      <c r="E1066" s="395"/>
      <c r="F1066" s="396"/>
    </row>
    <row r="1067" s="181" customFormat="true" hidden="true" spans="1:8">
      <c r="A1067" s="382">
        <v>21799</v>
      </c>
      <c r="B1067" s="429" t="s">
        <v>1130</v>
      </c>
      <c r="C1067" s="400">
        <f t="shared" ref="C1067:H1067" si="172">SUM(C1068:C1069)</f>
        <v>0</v>
      </c>
      <c r="D1067" s="380">
        <f t="shared" si="165"/>
        <v>0</v>
      </c>
      <c r="E1067" s="395"/>
      <c r="F1067" s="403">
        <f t="shared" si="172"/>
        <v>0</v>
      </c>
      <c r="G1067" s="404">
        <f t="shared" si="172"/>
        <v>0</v>
      </c>
      <c r="H1067" s="404">
        <f t="shared" si="172"/>
        <v>0</v>
      </c>
    </row>
    <row r="1068" s="181" customFormat="true" hidden="true" spans="1:6">
      <c r="A1068" s="382">
        <v>2179902</v>
      </c>
      <c r="B1068" s="426" t="s">
        <v>1131</v>
      </c>
      <c r="C1068" s="198"/>
      <c r="D1068" s="380">
        <f t="shared" si="165"/>
        <v>0</v>
      </c>
      <c r="E1068" s="395"/>
      <c r="F1068" s="396"/>
    </row>
    <row r="1069" s="181" customFormat="true" hidden="true" spans="1:6">
      <c r="A1069" s="382">
        <v>2179999</v>
      </c>
      <c r="B1069" s="426" t="s">
        <v>1132</v>
      </c>
      <c r="C1069" s="198"/>
      <c r="D1069" s="380">
        <f t="shared" si="165"/>
        <v>0</v>
      </c>
      <c r="E1069" s="395"/>
      <c r="F1069" s="396"/>
    </row>
    <row r="1070" s="181" customFormat="true" hidden="true" spans="1:8">
      <c r="A1070" s="382">
        <v>219</v>
      </c>
      <c r="B1070" s="435" t="s">
        <v>1133</v>
      </c>
      <c r="C1070" s="436">
        <f t="shared" ref="C1070:H1070" si="173">SUM(C1071:C1079)</f>
        <v>0</v>
      </c>
      <c r="D1070" s="380">
        <f t="shared" si="165"/>
        <v>0</v>
      </c>
      <c r="E1070" s="395"/>
      <c r="F1070" s="437">
        <f t="shared" si="173"/>
        <v>0</v>
      </c>
      <c r="G1070" s="181">
        <f t="shared" si="173"/>
        <v>0</v>
      </c>
      <c r="H1070" s="181">
        <f t="shared" si="173"/>
        <v>0</v>
      </c>
    </row>
    <row r="1071" s="181" customFormat="true" hidden="true" spans="1:8">
      <c r="A1071" s="382">
        <v>21901</v>
      </c>
      <c r="B1071" s="429" t="s">
        <v>1134</v>
      </c>
      <c r="C1071" s="198"/>
      <c r="D1071" s="380">
        <f t="shared" si="165"/>
        <v>0</v>
      </c>
      <c r="E1071" s="395"/>
      <c r="F1071" s="396"/>
      <c r="G1071" s="404"/>
      <c r="H1071" s="404"/>
    </row>
    <row r="1072" s="181" customFormat="true" hidden="true" spans="1:8">
      <c r="A1072" s="382">
        <v>21902</v>
      </c>
      <c r="B1072" s="429" t="s">
        <v>1135</v>
      </c>
      <c r="C1072" s="198"/>
      <c r="D1072" s="380">
        <f t="shared" si="165"/>
        <v>0</v>
      </c>
      <c r="E1072" s="395"/>
      <c r="F1072" s="396"/>
      <c r="G1072" s="404"/>
      <c r="H1072" s="404"/>
    </row>
    <row r="1073" s="181" customFormat="true" hidden="true" spans="1:8">
      <c r="A1073" s="382">
        <v>21903</v>
      </c>
      <c r="B1073" s="429" t="s">
        <v>1136</v>
      </c>
      <c r="C1073" s="198"/>
      <c r="D1073" s="380">
        <f t="shared" si="165"/>
        <v>0</v>
      </c>
      <c r="E1073" s="395"/>
      <c r="F1073" s="396"/>
      <c r="G1073" s="404"/>
      <c r="H1073" s="404"/>
    </row>
    <row r="1074" s="181" customFormat="true" hidden="true" spans="1:8">
      <c r="A1074" s="382">
        <v>21904</v>
      </c>
      <c r="B1074" s="429" t="s">
        <v>1137</v>
      </c>
      <c r="C1074" s="198"/>
      <c r="D1074" s="380">
        <f t="shared" si="165"/>
        <v>0</v>
      </c>
      <c r="E1074" s="395"/>
      <c r="F1074" s="396"/>
      <c r="G1074" s="404"/>
      <c r="H1074" s="404"/>
    </row>
    <row r="1075" s="181" customFormat="true" hidden="true" spans="1:8">
      <c r="A1075" s="382">
        <v>21905</v>
      </c>
      <c r="B1075" s="429" t="s">
        <v>1138</v>
      </c>
      <c r="C1075" s="198"/>
      <c r="D1075" s="380">
        <f t="shared" si="165"/>
        <v>0</v>
      </c>
      <c r="E1075" s="395"/>
      <c r="F1075" s="396"/>
      <c r="G1075" s="404"/>
      <c r="H1075" s="404"/>
    </row>
    <row r="1076" s="181" customFormat="true" hidden="true" spans="1:8">
      <c r="A1076" s="382">
        <v>21906</v>
      </c>
      <c r="B1076" s="429" t="s">
        <v>909</v>
      </c>
      <c r="C1076" s="198"/>
      <c r="D1076" s="380">
        <f t="shared" si="165"/>
        <v>0</v>
      </c>
      <c r="E1076" s="395"/>
      <c r="F1076" s="396"/>
      <c r="G1076" s="404"/>
      <c r="H1076" s="404"/>
    </row>
    <row r="1077" s="181" customFormat="true" hidden="true" spans="1:8">
      <c r="A1077" s="382">
        <v>21907</v>
      </c>
      <c r="B1077" s="429" t="s">
        <v>1139</v>
      </c>
      <c r="C1077" s="198"/>
      <c r="D1077" s="380">
        <f t="shared" si="165"/>
        <v>0</v>
      </c>
      <c r="E1077" s="395"/>
      <c r="F1077" s="396"/>
      <c r="G1077" s="404"/>
      <c r="H1077" s="404"/>
    </row>
    <row r="1078" s="181" customFormat="true" hidden="true" spans="1:8">
      <c r="A1078" s="382">
        <v>21908</v>
      </c>
      <c r="B1078" s="429" t="s">
        <v>1140</v>
      </c>
      <c r="C1078" s="198"/>
      <c r="D1078" s="380">
        <f t="shared" si="165"/>
        <v>0</v>
      </c>
      <c r="E1078" s="395"/>
      <c r="F1078" s="396"/>
      <c r="G1078" s="404"/>
      <c r="H1078" s="404"/>
    </row>
    <row r="1079" s="181" customFormat="true" hidden="true" spans="1:8">
      <c r="A1079" s="382">
        <v>21999</v>
      </c>
      <c r="B1079" s="429" t="s">
        <v>1141</v>
      </c>
      <c r="C1079" s="198"/>
      <c r="D1079" s="380">
        <f t="shared" si="165"/>
        <v>0</v>
      </c>
      <c r="E1079" s="395"/>
      <c r="F1079" s="396"/>
      <c r="G1079" s="404"/>
      <c r="H1079" s="404"/>
    </row>
    <row r="1080" s="362" customFormat="true" spans="1:8">
      <c r="A1080" s="373">
        <v>220</v>
      </c>
      <c r="B1080" s="425" t="s">
        <v>1142</v>
      </c>
      <c r="C1080" s="375">
        <f t="shared" ref="C1080:H1080" si="174">SUM(C1081,C1108,C1123)</f>
        <v>1896</v>
      </c>
      <c r="D1080" s="376">
        <f t="shared" si="165"/>
        <v>103642</v>
      </c>
      <c r="E1080" s="224">
        <f>(D1080/C1080-1)</f>
        <v>53.6635021097046</v>
      </c>
      <c r="F1080" s="415">
        <f t="shared" si="174"/>
        <v>1762</v>
      </c>
      <c r="G1080" s="362">
        <f t="shared" si="174"/>
        <v>100000</v>
      </c>
      <c r="H1080" s="362">
        <f t="shared" si="174"/>
        <v>1880</v>
      </c>
    </row>
    <row r="1081" s="360" customFormat="true" spans="1:8">
      <c r="A1081" s="377">
        <v>22001</v>
      </c>
      <c r="B1081" s="424" t="s">
        <v>1143</v>
      </c>
      <c r="C1081" s="379">
        <f t="shared" ref="C1081:H1081" si="175">SUM(C1082:C1107)</f>
        <v>1716</v>
      </c>
      <c r="D1081" s="380">
        <f t="shared" si="165"/>
        <v>103642</v>
      </c>
      <c r="E1081" s="224">
        <f>(D1081/C1081-1)</f>
        <v>59.3974358974359</v>
      </c>
      <c r="F1081" s="397">
        <f t="shared" si="175"/>
        <v>1762</v>
      </c>
      <c r="G1081" s="402">
        <f t="shared" si="175"/>
        <v>100000</v>
      </c>
      <c r="H1081" s="402">
        <f t="shared" si="175"/>
        <v>1880</v>
      </c>
    </row>
    <row r="1082" s="360" customFormat="true" spans="1:8">
      <c r="A1082" s="377">
        <v>2200101</v>
      </c>
      <c r="B1082" s="424" t="s">
        <v>306</v>
      </c>
      <c r="C1082" s="381">
        <v>882</v>
      </c>
      <c r="D1082" s="380">
        <f t="shared" si="165"/>
        <v>880</v>
      </c>
      <c r="E1082" s="224">
        <f>(D1082/C1082-1)</f>
        <v>-0.00226757369614516</v>
      </c>
      <c r="F1082" s="380">
        <v>878</v>
      </c>
      <c r="H1082" s="360">
        <v>2</v>
      </c>
    </row>
    <row r="1083" s="360" customFormat="true" spans="1:8">
      <c r="A1083" s="377">
        <v>2200102</v>
      </c>
      <c r="B1083" s="424" t="s">
        <v>307</v>
      </c>
      <c r="C1083" s="381">
        <v>8</v>
      </c>
      <c r="D1083" s="380">
        <f t="shared" si="165"/>
        <v>3</v>
      </c>
      <c r="E1083" s="224">
        <f>(D1083/C1083-1)</f>
        <v>-0.625</v>
      </c>
      <c r="F1083" s="380"/>
      <c r="H1083" s="360">
        <v>3</v>
      </c>
    </row>
    <row r="1084" s="181" customFormat="true" hidden="true" spans="1:6">
      <c r="A1084" s="382">
        <v>2200103</v>
      </c>
      <c r="B1084" s="426" t="s">
        <v>308</v>
      </c>
      <c r="C1084" s="198"/>
      <c r="D1084" s="380">
        <f t="shared" si="165"/>
        <v>0</v>
      </c>
      <c r="E1084" s="395"/>
      <c r="F1084" s="396"/>
    </row>
    <row r="1085" s="181" customFormat="true" hidden="true" spans="1:6">
      <c r="A1085" s="382">
        <v>2200104</v>
      </c>
      <c r="B1085" s="426" t="s">
        <v>1144</v>
      </c>
      <c r="C1085" s="198"/>
      <c r="D1085" s="380">
        <f t="shared" si="165"/>
        <v>0</v>
      </c>
      <c r="E1085" s="395"/>
      <c r="F1085" s="396"/>
    </row>
    <row r="1086" s="181" customFormat="true" spans="1:9">
      <c r="A1086" s="382">
        <v>2200106</v>
      </c>
      <c r="B1086" s="426" t="s">
        <v>1145</v>
      </c>
      <c r="C1086" s="198"/>
      <c r="D1086" s="380">
        <f t="shared" si="165"/>
        <v>101800</v>
      </c>
      <c r="E1086" s="395"/>
      <c r="F1086" s="396"/>
      <c r="G1086" s="404">
        <f>90000+10000</f>
        <v>100000</v>
      </c>
      <c r="H1086" s="181">
        <v>1800</v>
      </c>
      <c r="I1086" s="181" t="s">
        <v>1146</v>
      </c>
    </row>
    <row r="1087" s="181" customFormat="true" hidden="true" spans="1:6">
      <c r="A1087" s="382">
        <v>2200107</v>
      </c>
      <c r="B1087" s="426" t="s">
        <v>1147</v>
      </c>
      <c r="C1087" s="198"/>
      <c r="D1087" s="380">
        <f t="shared" si="165"/>
        <v>0</v>
      </c>
      <c r="E1087" s="395"/>
      <c r="F1087" s="396"/>
    </row>
    <row r="1088" s="181" customFormat="true" hidden="true" spans="1:6">
      <c r="A1088" s="382">
        <v>2200108</v>
      </c>
      <c r="B1088" s="426" t="s">
        <v>1148</v>
      </c>
      <c r="C1088" s="198"/>
      <c r="D1088" s="380">
        <f t="shared" si="165"/>
        <v>0</v>
      </c>
      <c r="E1088" s="395"/>
      <c r="F1088" s="396"/>
    </row>
    <row r="1089" s="181" customFormat="true" hidden="true" spans="1:6">
      <c r="A1089" s="382">
        <v>2200109</v>
      </c>
      <c r="B1089" s="426" t="s">
        <v>1149</v>
      </c>
      <c r="C1089" s="198"/>
      <c r="D1089" s="380">
        <f t="shared" si="165"/>
        <v>0</v>
      </c>
      <c r="E1089" s="395"/>
      <c r="F1089" s="396"/>
    </row>
    <row r="1090" s="181" customFormat="true" hidden="true" spans="1:6">
      <c r="A1090" s="382">
        <v>2200112</v>
      </c>
      <c r="B1090" s="426" t="s">
        <v>1150</v>
      </c>
      <c r="C1090" s="198"/>
      <c r="D1090" s="380">
        <f t="shared" si="165"/>
        <v>0</v>
      </c>
      <c r="E1090" s="395"/>
      <c r="F1090" s="396"/>
    </row>
    <row r="1091" s="181" customFormat="true" hidden="true" spans="1:6">
      <c r="A1091" s="382">
        <v>2200113</v>
      </c>
      <c r="B1091" s="426" t="s">
        <v>1151</v>
      </c>
      <c r="C1091" s="198"/>
      <c r="D1091" s="380">
        <f t="shared" si="165"/>
        <v>0</v>
      </c>
      <c r="E1091" s="395"/>
      <c r="F1091" s="396"/>
    </row>
    <row r="1092" s="181" customFormat="true" hidden="true" spans="1:6">
      <c r="A1092" s="382">
        <v>2200114</v>
      </c>
      <c r="B1092" s="426" t="s">
        <v>1152</v>
      </c>
      <c r="C1092" s="198"/>
      <c r="D1092" s="380">
        <f t="shared" si="165"/>
        <v>0</v>
      </c>
      <c r="E1092" s="395"/>
      <c r="F1092" s="396"/>
    </row>
    <row r="1093" s="181" customFormat="true" hidden="true" spans="1:6">
      <c r="A1093" s="382">
        <v>2200115</v>
      </c>
      <c r="B1093" s="426" t="s">
        <v>1153</v>
      </c>
      <c r="C1093" s="198"/>
      <c r="D1093" s="380">
        <f t="shared" si="165"/>
        <v>0</v>
      </c>
      <c r="E1093" s="395"/>
      <c r="F1093" s="396"/>
    </row>
    <row r="1094" s="181" customFormat="true" hidden="true" spans="1:6">
      <c r="A1094" s="382">
        <v>2200116</v>
      </c>
      <c r="B1094" s="426" t="s">
        <v>1154</v>
      </c>
      <c r="C1094" s="198"/>
      <c r="D1094" s="380">
        <f t="shared" si="165"/>
        <v>0</v>
      </c>
      <c r="E1094" s="395"/>
      <c r="F1094" s="396"/>
    </row>
    <row r="1095" s="181" customFormat="true" hidden="true" spans="1:6">
      <c r="A1095" s="382">
        <v>2200119</v>
      </c>
      <c r="B1095" s="426" t="s">
        <v>1155</v>
      </c>
      <c r="C1095" s="198"/>
      <c r="D1095" s="380">
        <f t="shared" si="165"/>
        <v>0</v>
      </c>
      <c r="E1095" s="395"/>
      <c r="F1095" s="396"/>
    </row>
    <row r="1096" s="181" customFormat="true" hidden="true" spans="1:6">
      <c r="A1096" s="382">
        <v>2200120</v>
      </c>
      <c r="B1096" s="426" t="s">
        <v>1156</v>
      </c>
      <c r="C1096" s="198"/>
      <c r="D1096" s="380">
        <f t="shared" si="165"/>
        <v>0</v>
      </c>
      <c r="E1096" s="395"/>
      <c r="F1096" s="396"/>
    </row>
    <row r="1097" s="181" customFormat="true" hidden="true" spans="1:6">
      <c r="A1097" s="382">
        <v>2200121</v>
      </c>
      <c r="B1097" s="426" t="s">
        <v>1157</v>
      </c>
      <c r="C1097" s="198"/>
      <c r="D1097" s="380">
        <f t="shared" si="165"/>
        <v>0</v>
      </c>
      <c r="E1097" s="395"/>
      <c r="F1097" s="396"/>
    </row>
    <row r="1098" s="181" customFormat="true" hidden="true" spans="1:6">
      <c r="A1098" s="382">
        <v>2200122</v>
      </c>
      <c r="B1098" s="426" t="s">
        <v>1158</v>
      </c>
      <c r="C1098" s="198"/>
      <c r="D1098" s="380">
        <f t="shared" ref="D1098:D1161" si="176">F1098+G1098+H1098</f>
        <v>0</v>
      </c>
      <c r="E1098" s="395"/>
      <c r="F1098" s="396"/>
    </row>
    <row r="1099" s="181" customFormat="true" hidden="true" spans="1:6">
      <c r="A1099" s="382">
        <v>2200123</v>
      </c>
      <c r="B1099" s="426" t="s">
        <v>1159</v>
      </c>
      <c r="C1099" s="198"/>
      <c r="D1099" s="380">
        <f t="shared" si="176"/>
        <v>0</v>
      </c>
      <c r="E1099" s="395"/>
      <c r="F1099" s="396"/>
    </row>
    <row r="1100" s="181" customFormat="true" hidden="true" spans="1:6">
      <c r="A1100" s="382">
        <v>2200124</v>
      </c>
      <c r="B1100" s="426" t="s">
        <v>1160</v>
      </c>
      <c r="C1100" s="198"/>
      <c r="D1100" s="380">
        <f t="shared" si="176"/>
        <v>0</v>
      </c>
      <c r="E1100" s="395"/>
      <c r="F1100" s="396"/>
    </row>
    <row r="1101" s="181" customFormat="true" hidden="true" spans="1:6">
      <c r="A1101" s="382">
        <v>2200125</v>
      </c>
      <c r="B1101" s="426" t="s">
        <v>1161</v>
      </c>
      <c r="C1101" s="198"/>
      <c r="D1101" s="380">
        <f t="shared" si="176"/>
        <v>0</v>
      </c>
      <c r="E1101" s="395"/>
      <c r="F1101" s="396"/>
    </row>
    <row r="1102" s="181" customFormat="true" hidden="true" spans="1:6">
      <c r="A1102" s="382">
        <v>2200126</v>
      </c>
      <c r="B1102" s="426" t="s">
        <v>1162</v>
      </c>
      <c r="C1102" s="198"/>
      <c r="D1102" s="380">
        <f t="shared" si="176"/>
        <v>0</v>
      </c>
      <c r="E1102" s="395"/>
      <c r="F1102" s="396"/>
    </row>
    <row r="1103" s="181" customFormat="true" hidden="true" spans="1:6">
      <c r="A1103" s="382">
        <v>2200127</v>
      </c>
      <c r="B1103" s="426" t="s">
        <v>1163</v>
      </c>
      <c r="C1103" s="198"/>
      <c r="D1103" s="380">
        <f t="shared" si="176"/>
        <v>0</v>
      </c>
      <c r="E1103" s="395"/>
      <c r="F1103" s="396"/>
    </row>
    <row r="1104" s="181" customFormat="true" hidden="true" spans="1:6">
      <c r="A1104" s="382">
        <v>2200128</v>
      </c>
      <c r="B1104" s="426" t="s">
        <v>1164</v>
      </c>
      <c r="C1104" s="198"/>
      <c r="D1104" s="380">
        <f t="shared" si="176"/>
        <v>0</v>
      </c>
      <c r="E1104" s="395"/>
      <c r="F1104" s="396"/>
    </row>
    <row r="1105" s="181" customFormat="true" hidden="true" spans="1:6">
      <c r="A1105" s="382">
        <v>2200129</v>
      </c>
      <c r="B1105" s="426" t="s">
        <v>1165</v>
      </c>
      <c r="C1105" s="198"/>
      <c r="D1105" s="380">
        <f t="shared" si="176"/>
        <v>0</v>
      </c>
      <c r="E1105" s="395"/>
      <c r="F1105" s="396"/>
    </row>
    <row r="1106" s="360" customFormat="true" spans="1:8">
      <c r="A1106" s="377">
        <v>2200150</v>
      </c>
      <c r="B1106" s="424" t="s">
        <v>315</v>
      </c>
      <c r="C1106" s="381">
        <v>806</v>
      </c>
      <c r="D1106" s="380">
        <f t="shared" si="176"/>
        <v>849</v>
      </c>
      <c r="E1106" s="224">
        <f>(D1106/C1106-1)</f>
        <v>0.0533498759305211</v>
      </c>
      <c r="F1106" s="380">
        <v>842</v>
      </c>
      <c r="H1106" s="360">
        <v>7</v>
      </c>
    </row>
    <row r="1107" s="360" customFormat="true" spans="1:8">
      <c r="A1107" s="377">
        <v>2200199</v>
      </c>
      <c r="B1107" s="424" t="s">
        <v>1166</v>
      </c>
      <c r="C1107" s="381">
        <v>20</v>
      </c>
      <c r="D1107" s="380">
        <f t="shared" si="176"/>
        <v>110</v>
      </c>
      <c r="E1107" s="224">
        <f>(D1107/C1107-1)</f>
        <v>4.5</v>
      </c>
      <c r="F1107" s="380">
        <v>42</v>
      </c>
      <c r="H1107" s="360">
        <v>68</v>
      </c>
    </row>
    <row r="1108" s="360" customFormat="true" hidden="true" spans="1:8">
      <c r="A1108" s="377">
        <v>22005</v>
      </c>
      <c r="B1108" s="424" t="s">
        <v>1167</v>
      </c>
      <c r="C1108" s="379">
        <f t="shared" ref="C1108:H1108" si="177">SUM(C1109:C1122)</f>
        <v>180</v>
      </c>
      <c r="D1108" s="380">
        <f t="shared" si="176"/>
        <v>0</v>
      </c>
      <c r="E1108" s="224">
        <f>(D1108/C1108-1)</f>
        <v>-1</v>
      </c>
      <c r="F1108" s="397">
        <f t="shared" si="177"/>
        <v>0</v>
      </c>
      <c r="G1108" s="402">
        <f t="shared" si="177"/>
        <v>0</v>
      </c>
      <c r="H1108" s="402">
        <f t="shared" si="177"/>
        <v>0</v>
      </c>
    </row>
    <row r="1109" s="181" customFormat="true" hidden="true" spans="1:6">
      <c r="A1109" s="382">
        <v>2200501</v>
      </c>
      <c r="B1109" s="426" t="s">
        <v>306</v>
      </c>
      <c r="C1109" s="198"/>
      <c r="D1109" s="380">
        <f t="shared" si="176"/>
        <v>0</v>
      </c>
      <c r="E1109" s="395"/>
      <c r="F1109" s="396"/>
    </row>
    <row r="1110" s="181" customFormat="true" hidden="true" spans="1:6">
      <c r="A1110" s="382">
        <v>2200502</v>
      </c>
      <c r="B1110" s="426" t="s">
        <v>307</v>
      </c>
      <c r="C1110" s="198"/>
      <c r="D1110" s="380">
        <f t="shared" si="176"/>
        <v>0</v>
      </c>
      <c r="E1110" s="395"/>
      <c r="F1110" s="396"/>
    </row>
    <row r="1111" s="181" customFormat="true" hidden="true" spans="1:6">
      <c r="A1111" s="382">
        <v>2200503</v>
      </c>
      <c r="B1111" s="426" t="s">
        <v>308</v>
      </c>
      <c r="C1111" s="198"/>
      <c r="D1111" s="380">
        <f t="shared" si="176"/>
        <v>0</v>
      </c>
      <c r="E1111" s="395"/>
      <c r="F1111" s="396"/>
    </row>
    <row r="1112" s="181" customFormat="true" hidden="true" spans="1:6">
      <c r="A1112" s="382">
        <v>2200504</v>
      </c>
      <c r="B1112" s="426" t="s">
        <v>1168</v>
      </c>
      <c r="C1112" s="198"/>
      <c r="D1112" s="380">
        <f t="shared" si="176"/>
        <v>0</v>
      </c>
      <c r="E1112" s="395"/>
      <c r="F1112" s="396"/>
    </row>
    <row r="1113" s="181" customFormat="true" hidden="true" spans="1:6">
      <c r="A1113" s="382">
        <v>2200506</v>
      </c>
      <c r="B1113" s="426" t="s">
        <v>1169</v>
      </c>
      <c r="C1113" s="198"/>
      <c r="D1113" s="380">
        <f t="shared" si="176"/>
        <v>0</v>
      </c>
      <c r="E1113" s="395"/>
      <c r="F1113" s="396"/>
    </row>
    <row r="1114" s="181" customFormat="true" hidden="true" spans="1:6">
      <c r="A1114" s="382">
        <v>2200507</v>
      </c>
      <c r="B1114" s="426" t="s">
        <v>1170</v>
      </c>
      <c r="C1114" s="198"/>
      <c r="D1114" s="380">
        <f t="shared" si="176"/>
        <v>0</v>
      </c>
      <c r="E1114" s="395"/>
      <c r="F1114" s="396"/>
    </row>
    <row r="1115" s="181" customFormat="true" hidden="true" spans="1:6">
      <c r="A1115" s="382">
        <v>2200508</v>
      </c>
      <c r="B1115" s="426" t="s">
        <v>1171</v>
      </c>
      <c r="C1115" s="198"/>
      <c r="D1115" s="380">
        <f t="shared" si="176"/>
        <v>0</v>
      </c>
      <c r="E1115" s="395"/>
      <c r="F1115" s="396"/>
    </row>
    <row r="1116" s="360" customFormat="true" hidden="true" spans="1:6">
      <c r="A1116" s="377">
        <v>2200509</v>
      </c>
      <c r="B1116" s="424" t="s">
        <v>1172</v>
      </c>
      <c r="C1116" s="381">
        <v>180</v>
      </c>
      <c r="D1116" s="380">
        <f t="shared" si="176"/>
        <v>0</v>
      </c>
      <c r="E1116" s="224">
        <f>(D1116/C1116-1)</f>
        <v>-1</v>
      </c>
      <c r="F1116" s="380"/>
    </row>
    <row r="1117" s="181" customFormat="true" hidden="true" spans="1:6">
      <c r="A1117" s="382">
        <v>2200510</v>
      </c>
      <c r="B1117" s="426" t="s">
        <v>1173</v>
      </c>
      <c r="C1117" s="198"/>
      <c r="D1117" s="380">
        <f t="shared" si="176"/>
        <v>0</v>
      </c>
      <c r="E1117" s="395"/>
      <c r="F1117" s="396"/>
    </row>
    <row r="1118" s="181" customFormat="true" hidden="true" spans="1:6">
      <c r="A1118" s="382">
        <v>2200511</v>
      </c>
      <c r="B1118" s="426" t="s">
        <v>1174</v>
      </c>
      <c r="C1118" s="198"/>
      <c r="D1118" s="380">
        <f t="shared" si="176"/>
        <v>0</v>
      </c>
      <c r="E1118" s="395"/>
      <c r="F1118" s="396"/>
    </row>
    <row r="1119" s="181" customFormat="true" hidden="true" spans="1:6">
      <c r="A1119" s="382">
        <v>2200512</v>
      </c>
      <c r="B1119" s="426" t="s">
        <v>1175</v>
      </c>
      <c r="C1119" s="198"/>
      <c r="D1119" s="380">
        <f t="shared" si="176"/>
        <v>0</v>
      </c>
      <c r="E1119" s="395"/>
      <c r="F1119" s="396"/>
    </row>
    <row r="1120" s="181" customFormat="true" hidden="true" spans="1:6">
      <c r="A1120" s="382">
        <v>2200513</v>
      </c>
      <c r="B1120" s="426" t="s">
        <v>1176</v>
      </c>
      <c r="C1120" s="198"/>
      <c r="D1120" s="380">
        <f t="shared" si="176"/>
        <v>0</v>
      </c>
      <c r="E1120" s="395"/>
      <c r="F1120" s="396"/>
    </row>
    <row r="1121" s="181" customFormat="true" hidden="true" spans="1:6">
      <c r="A1121" s="382">
        <v>2200514</v>
      </c>
      <c r="B1121" s="426" t="s">
        <v>1177</v>
      </c>
      <c r="C1121" s="198"/>
      <c r="D1121" s="380">
        <f t="shared" si="176"/>
        <v>0</v>
      </c>
      <c r="E1121" s="395"/>
      <c r="F1121" s="396"/>
    </row>
    <row r="1122" s="181" customFormat="true" hidden="true" spans="1:6">
      <c r="A1122" s="382">
        <v>2200599</v>
      </c>
      <c r="B1122" s="426" t="s">
        <v>1178</v>
      </c>
      <c r="C1122" s="198"/>
      <c r="D1122" s="380">
        <f t="shared" si="176"/>
        <v>0</v>
      </c>
      <c r="E1122" s="395"/>
      <c r="F1122" s="396"/>
    </row>
    <row r="1123" s="181" customFormat="true" hidden="true" spans="1:8">
      <c r="A1123" s="382">
        <v>22099</v>
      </c>
      <c r="B1123" s="429" t="s">
        <v>1179</v>
      </c>
      <c r="C1123" s="198"/>
      <c r="D1123" s="380">
        <f t="shared" si="176"/>
        <v>0</v>
      </c>
      <c r="E1123" s="395"/>
      <c r="F1123" s="396"/>
      <c r="G1123" s="404"/>
      <c r="H1123" s="404"/>
    </row>
    <row r="1124" s="362" customFormat="true" spans="1:8">
      <c r="A1124" s="373">
        <v>221</v>
      </c>
      <c r="B1124" s="425" t="s">
        <v>1180</v>
      </c>
      <c r="C1124" s="375">
        <f t="shared" ref="C1124:H1124" si="178">SUM(C1125,C1136,C1140)</f>
        <v>16820</v>
      </c>
      <c r="D1124" s="376">
        <f t="shared" si="176"/>
        <v>19663</v>
      </c>
      <c r="E1124" s="224">
        <f>(D1124/C1124-1)</f>
        <v>0.169024970273484</v>
      </c>
      <c r="F1124" s="415">
        <f t="shared" si="178"/>
        <v>15998</v>
      </c>
      <c r="G1124" s="362">
        <f t="shared" si="178"/>
        <v>470</v>
      </c>
      <c r="H1124" s="362">
        <f t="shared" si="178"/>
        <v>3195</v>
      </c>
    </row>
    <row r="1125" s="360" customFormat="true" spans="1:8">
      <c r="A1125" s="377">
        <v>22101</v>
      </c>
      <c r="B1125" s="424" t="s">
        <v>1181</v>
      </c>
      <c r="C1125" s="379">
        <f t="shared" ref="C1125:H1125" si="179">SUM(C1126:C1135)</f>
        <v>679</v>
      </c>
      <c r="D1125" s="380">
        <f t="shared" si="176"/>
        <v>778</v>
      </c>
      <c r="E1125" s="224">
        <f>(D1125/C1125-1)</f>
        <v>0.14580265095729</v>
      </c>
      <c r="F1125" s="397">
        <f t="shared" si="179"/>
        <v>300</v>
      </c>
      <c r="G1125" s="402">
        <f t="shared" si="179"/>
        <v>470</v>
      </c>
      <c r="H1125" s="402">
        <f t="shared" si="179"/>
        <v>8</v>
      </c>
    </row>
    <row r="1126" s="181" customFormat="true" hidden="true" spans="1:6">
      <c r="A1126" s="382">
        <v>2210101</v>
      </c>
      <c r="B1126" s="426" t="s">
        <v>1182</v>
      </c>
      <c r="C1126" s="198"/>
      <c r="D1126" s="380">
        <f t="shared" si="176"/>
        <v>0</v>
      </c>
      <c r="E1126" s="395"/>
      <c r="F1126" s="396"/>
    </row>
    <row r="1127" s="181" customFormat="true" hidden="true" spans="1:6">
      <c r="A1127" s="382">
        <v>2210102</v>
      </c>
      <c r="B1127" s="426" t="s">
        <v>1183</v>
      </c>
      <c r="C1127" s="198"/>
      <c r="D1127" s="380">
        <f t="shared" si="176"/>
        <v>0</v>
      </c>
      <c r="E1127" s="395"/>
      <c r="F1127" s="396"/>
    </row>
    <row r="1128" s="181" customFormat="true" hidden="true" spans="1:6">
      <c r="A1128" s="382">
        <v>2210103</v>
      </c>
      <c r="B1128" s="426" t="s">
        <v>1184</v>
      </c>
      <c r="C1128" s="198"/>
      <c r="D1128" s="380">
        <f t="shared" si="176"/>
        <v>0</v>
      </c>
      <c r="E1128" s="395" t="e">
        <f>(C1128/#REF!-1)</f>
        <v>#REF!</v>
      </c>
      <c r="F1128" s="396"/>
    </row>
    <row r="1129" s="181" customFormat="true" hidden="true" spans="1:6">
      <c r="A1129" s="382">
        <v>2210104</v>
      </c>
      <c r="B1129" s="426" t="s">
        <v>1185</v>
      </c>
      <c r="C1129" s="198"/>
      <c r="D1129" s="380">
        <f t="shared" si="176"/>
        <v>0</v>
      </c>
      <c r="E1129" s="395"/>
      <c r="F1129" s="396"/>
    </row>
    <row r="1130" s="181" customFormat="true" hidden="true" spans="1:6">
      <c r="A1130" s="382">
        <v>2210105</v>
      </c>
      <c r="B1130" s="426" t="s">
        <v>1186</v>
      </c>
      <c r="C1130" s="198"/>
      <c r="D1130" s="380">
        <f t="shared" si="176"/>
        <v>0</v>
      </c>
      <c r="E1130" s="395"/>
      <c r="F1130" s="396"/>
    </row>
    <row r="1131" s="360" customFormat="true" spans="1:6">
      <c r="A1131" s="377">
        <v>2210106</v>
      </c>
      <c r="B1131" s="424" t="s">
        <v>1187</v>
      </c>
      <c r="C1131" s="381">
        <v>200</v>
      </c>
      <c r="D1131" s="380">
        <f t="shared" si="176"/>
        <v>300</v>
      </c>
      <c r="E1131" s="224">
        <f>(D1131/C1131-1)</f>
        <v>0.5</v>
      </c>
      <c r="F1131" s="380">
        <v>300</v>
      </c>
    </row>
    <row r="1132" s="181" customFormat="true" hidden="true" spans="1:6">
      <c r="A1132" s="382">
        <v>2210107</v>
      </c>
      <c r="B1132" s="426" t="s">
        <v>1188</v>
      </c>
      <c r="C1132" s="198"/>
      <c r="D1132" s="380">
        <f t="shared" si="176"/>
        <v>0</v>
      </c>
      <c r="E1132" s="395"/>
      <c r="F1132" s="396"/>
    </row>
    <row r="1133" s="181" customFormat="true" hidden="true" spans="1:6">
      <c r="A1133" s="382">
        <v>2210108</v>
      </c>
      <c r="B1133" s="426" t="s">
        <v>1189</v>
      </c>
      <c r="C1133" s="198"/>
      <c r="D1133" s="380">
        <f t="shared" si="176"/>
        <v>0</v>
      </c>
      <c r="E1133" s="395" t="e">
        <f>(C1133/#REF!-1)</f>
        <v>#REF!</v>
      </c>
      <c r="F1133" s="396"/>
    </row>
    <row r="1134" s="181" customFormat="true" spans="1:8">
      <c r="A1134" s="382">
        <v>2210109</v>
      </c>
      <c r="B1134" s="426" t="s">
        <v>1190</v>
      </c>
      <c r="C1134" s="198"/>
      <c r="D1134" s="380">
        <f t="shared" si="176"/>
        <v>3</v>
      </c>
      <c r="E1134" s="395"/>
      <c r="F1134" s="396"/>
      <c r="H1134" s="181">
        <v>3</v>
      </c>
    </row>
    <row r="1135" s="360" customFormat="true" spans="1:9">
      <c r="A1135" s="377">
        <v>2210199</v>
      </c>
      <c r="B1135" s="424" t="s">
        <v>1191</v>
      </c>
      <c r="C1135" s="381">
        <v>479</v>
      </c>
      <c r="D1135" s="380">
        <f t="shared" si="176"/>
        <v>475</v>
      </c>
      <c r="E1135" s="224">
        <f>(D1135/C1135-1)</f>
        <v>-0.00835073068893533</v>
      </c>
      <c r="F1135" s="380"/>
      <c r="G1135" s="360">
        <v>470</v>
      </c>
      <c r="H1135" s="360">
        <v>5</v>
      </c>
      <c r="I1135" s="360" t="s">
        <v>1192</v>
      </c>
    </row>
    <row r="1136" s="360" customFormat="true" spans="1:8">
      <c r="A1136" s="377">
        <v>22102</v>
      </c>
      <c r="B1136" s="424" t="s">
        <v>1193</v>
      </c>
      <c r="C1136" s="379">
        <f t="shared" ref="C1136:H1136" si="180">SUM(C1137:C1139)</f>
        <v>15238</v>
      </c>
      <c r="D1136" s="380">
        <f t="shared" si="176"/>
        <v>14185</v>
      </c>
      <c r="E1136" s="224">
        <f>(D1136/C1136-1)</f>
        <v>-0.0691035568972306</v>
      </c>
      <c r="F1136" s="397">
        <f t="shared" si="180"/>
        <v>14185</v>
      </c>
      <c r="G1136" s="402">
        <f t="shared" si="180"/>
        <v>0</v>
      </c>
      <c r="H1136" s="402">
        <f t="shared" si="180"/>
        <v>0</v>
      </c>
    </row>
    <row r="1137" s="360" customFormat="true" spans="1:6">
      <c r="A1137" s="377">
        <v>2210201</v>
      </c>
      <c r="B1137" s="424" t="s">
        <v>1194</v>
      </c>
      <c r="C1137" s="381">
        <v>8500</v>
      </c>
      <c r="D1137" s="380">
        <f t="shared" si="176"/>
        <v>8738</v>
      </c>
      <c r="E1137" s="224">
        <f>(D1137/C1137-1)</f>
        <v>0.028</v>
      </c>
      <c r="F1137" s="380">
        <v>8738</v>
      </c>
    </row>
    <row r="1138" s="181" customFormat="true" hidden="true" spans="1:6">
      <c r="A1138" s="382">
        <v>2210202</v>
      </c>
      <c r="B1138" s="426" t="s">
        <v>1195</v>
      </c>
      <c r="C1138" s="198"/>
      <c r="D1138" s="380">
        <f t="shared" si="176"/>
        <v>0</v>
      </c>
      <c r="E1138" s="395"/>
      <c r="F1138" s="396"/>
    </row>
    <row r="1139" s="360" customFormat="true" spans="1:6">
      <c r="A1139" s="377">
        <v>2210203</v>
      </c>
      <c r="B1139" s="424" t="s">
        <v>1196</v>
      </c>
      <c r="C1139" s="381">
        <v>6738</v>
      </c>
      <c r="D1139" s="380">
        <f t="shared" si="176"/>
        <v>5447</v>
      </c>
      <c r="E1139" s="224">
        <f>(D1139/C1139-1)</f>
        <v>-0.191599881270407</v>
      </c>
      <c r="F1139" s="380">
        <v>5447</v>
      </c>
    </row>
    <row r="1140" s="360" customFormat="true" spans="1:8">
      <c r="A1140" s="377">
        <v>22103</v>
      </c>
      <c r="B1140" s="424" t="s">
        <v>1197</v>
      </c>
      <c r="C1140" s="379">
        <f t="shared" ref="C1140:H1140" si="181">SUM(C1141:C1143)</f>
        <v>903</v>
      </c>
      <c r="D1140" s="380">
        <f t="shared" si="176"/>
        <v>4700</v>
      </c>
      <c r="E1140" s="224">
        <f>(D1140/C1140-1)</f>
        <v>4.20487264673311</v>
      </c>
      <c r="F1140" s="397">
        <f t="shared" si="181"/>
        <v>1513</v>
      </c>
      <c r="G1140" s="402">
        <f t="shared" si="181"/>
        <v>0</v>
      </c>
      <c r="H1140" s="402">
        <f t="shared" si="181"/>
        <v>3187</v>
      </c>
    </row>
    <row r="1141" s="181" customFormat="true" hidden="true" spans="1:6">
      <c r="A1141" s="382">
        <v>2210301</v>
      </c>
      <c r="B1141" s="426" t="s">
        <v>1198</v>
      </c>
      <c r="C1141" s="198"/>
      <c r="D1141" s="380">
        <f t="shared" si="176"/>
        <v>0</v>
      </c>
      <c r="E1141" s="395"/>
      <c r="F1141" s="396"/>
    </row>
    <row r="1142" s="360" customFormat="true" spans="1:8">
      <c r="A1142" s="377">
        <v>2210302</v>
      </c>
      <c r="B1142" s="424" t="s">
        <v>1199</v>
      </c>
      <c r="C1142" s="381">
        <v>510</v>
      </c>
      <c r="D1142" s="380">
        <f t="shared" si="176"/>
        <v>507</v>
      </c>
      <c r="E1142" s="224">
        <f>(D1142/C1142-1)</f>
        <v>-0.00588235294117645</v>
      </c>
      <c r="F1142" s="380">
        <v>504</v>
      </c>
      <c r="H1142" s="360">
        <v>3</v>
      </c>
    </row>
    <row r="1143" s="360" customFormat="true" spans="1:8">
      <c r="A1143" s="377">
        <v>2210399</v>
      </c>
      <c r="B1143" s="424" t="s">
        <v>1200</v>
      </c>
      <c r="C1143" s="381">
        <v>393</v>
      </c>
      <c r="D1143" s="380">
        <f t="shared" si="176"/>
        <v>4193</v>
      </c>
      <c r="E1143" s="224">
        <f>(D1143/C1143-1)</f>
        <v>9.66921119592875</v>
      </c>
      <c r="F1143" s="380">
        <v>1009</v>
      </c>
      <c r="H1143" s="360">
        <v>3184</v>
      </c>
    </row>
    <row r="1144" s="362" customFormat="true" spans="1:8">
      <c r="A1144" s="373">
        <v>222</v>
      </c>
      <c r="B1144" s="425" t="s">
        <v>1201</v>
      </c>
      <c r="C1144" s="375">
        <f t="shared" ref="C1144:H1144" si="182">SUM(C1145,C1163,C1169,C1175)</f>
        <v>336</v>
      </c>
      <c r="D1144" s="376">
        <f t="shared" si="176"/>
        <v>293</v>
      </c>
      <c r="E1144" s="224">
        <f>(D1144/C1144-1)</f>
        <v>-0.12797619047619</v>
      </c>
      <c r="F1144" s="415">
        <f t="shared" si="182"/>
        <v>292</v>
      </c>
      <c r="G1144" s="362">
        <f t="shared" si="182"/>
        <v>0</v>
      </c>
      <c r="H1144" s="362">
        <f t="shared" si="182"/>
        <v>1</v>
      </c>
    </row>
    <row r="1145" s="360" customFormat="true" spans="1:8">
      <c r="A1145" s="377">
        <v>22201</v>
      </c>
      <c r="B1145" s="424" t="s">
        <v>1202</v>
      </c>
      <c r="C1145" s="379">
        <f t="shared" ref="C1145:H1145" si="183">SUM(C1146:C1162)</f>
        <v>336</v>
      </c>
      <c r="D1145" s="380">
        <f t="shared" si="176"/>
        <v>293</v>
      </c>
      <c r="E1145" s="224">
        <f>(D1145/C1145-1)</f>
        <v>-0.12797619047619</v>
      </c>
      <c r="F1145" s="397">
        <f t="shared" si="183"/>
        <v>292</v>
      </c>
      <c r="G1145" s="402">
        <f t="shared" si="183"/>
        <v>0</v>
      </c>
      <c r="H1145" s="402">
        <f t="shared" si="183"/>
        <v>1</v>
      </c>
    </row>
    <row r="1146" s="360" customFormat="true" spans="1:6">
      <c r="A1146" s="377">
        <v>2220101</v>
      </c>
      <c r="B1146" s="424" t="s">
        <v>306</v>
      </c>
      <c r="C1146" s="381">
        <v>176</v>
      </c>
      <c r="D1146" s="380">
        <f t="shared" si="176"/>
        <v>142</v>
      </c>
      <c r="E1146" s="224">
        <f>(D1146/C1146-1)</f>
        <v>-0.193181818181818</v>
      </c>
      <c r="F1146" s="380">
        <v>142</v>
      </c>
    </row>
    <row r="1147" s="181" customFormat="true" hidden="true" spans="1:6">
      <c r="A1147" s="382">
        <v>2220102</v>
      </c>
      <c r="B1147" s="426" t="s">
        <v>307</v>
      </c>
      <c r="C1147" s="198"/>
      <c r="D1147" s="380">
        <f t="shared" si="176"/>
        <v>0</v>
      </c>
      <c r="E1147" s="395"/>
      <c r="F1147" s="396"/>
    </row>
    <row r="1148" s="181" customFormat="true" hidden="true" spans="1:6">
      <c r="A1148" s="382">
        <v>2220103</v>
      </c>
      <c r="B1148" s="426" t="s">
        <v>308</v>
      </c>
      <c r="C1148" s="198"/>
      <c r="D1148" s="380">
        <f t="shared" si="176"/>
        <v>0</v>
      </c>
      <c r="E1148" s="395"/>
      <c r="F1148" s="396"/>
    </row>
    <row r="1149" s="181" customFormat="true" hidden="true" spans="1:6">
      <c r="A1149" s="382">
        <v>2220104</v>
      </c>
      <c r="B1149" s="426" t="s">
        <v>1203</v>
      </c>
      <c r="C1149" s="198"/>
      <c r="D1149" s="380">
        <f t="shared" si="176"/>
        <v>0</v>
      </c>
      <c r="E1149" s="395"/>
      <c r="F1149" s="396"/>
    </row>
    <row r="1150" s="181" customFormat="true" hidden="true" spans="1:6">
      <c r="A1150" s="382">
        <v>2220105</v>
      </c>
      <c r="B1150" s="426" t="s">
        <v>1204</v>
      </c>
      <c r="C1150" s="198"/>
      <c r="D1150" s="380">
        <f t="shared" si="176"/>
        <v>0</v>
      </c>
      <c r="E1150" s="395"/>
      <c r="F1150" s="396"/>
    </row>
    <row r="1151" s="360" customFormat="true" spans="1:6">
      <c r="A1151" s="377">
        <v>2220106</v>
      </c>
      <c r="B1151" s="424" t="s">
        <v>1205</v>
      </c>
      <c r="C1151" s="381">
        <v>160</v>
      </c>
      <c r="D1151" s="380">
        <f t="shared" si="176"/>
        <v>150</v>
      </c>
      <c r="E1151" s="224">
        <f>(D1151/C1151-1)</f>
        <v>-0.0625</v>
      </c>
      <c r="F1151" s="380">
        <v>150</v>
      </c>
    </row>
    <row r="1152" s="181" customFormat="true" hidden="true" spans="1:6">
      <c r="A1152" s="382">
        <v>2220107</v>
      </c>
      <c r="B1152" s="426" t="s">
        <v>1206</v>
      </c>
      <c r="C1152" s="198"/>
      <c r="D1152" s="380">
        <f t="shared" si="176"/>
        <v>0</v>
      </c>
      <c r="E1152" s="395"/>
      <c r="F1152" s="396"/>
    </row>
    <row r="1153" s="181" customFormat="true" hidden="true" spans="1:6">
      <c r="A1153" s="382">
        <v>2220112</v>
      </c>
      <c r="B1153" s="426" t="s">
        <v>1207</v>
      </c>
      <c r="C1153" s="198"/>
      <c r="D1153" s="380">
        <f t="shared" si="176"/>
        <v>0</v>
      </c>
      <c r="E1153" s="395"/>
      <c r="F1153" s="396"/>
    </row>
    <row r="1154" s="181" customFormat="true" hidden="true" spans="1:6">
      <c r="A1154" s="382">
        <v>2220113</v>
      </c>
      <c r="B1154" s="426" t="s">
        <v>1208</v>
      </c>
      <c r="C1154" s="198"/>
      <c r="D1154" s="380">
        <f t="shared" si="176"/>
        <v>0</v>
      </c>
      <c r="E1154" s="395"/>
      <c r="F1154" s="396"/>
    </row>
    <row r="1155" s="181" customFormat="true" hidden="true" spans="1:6">
      <c r="A1155" s="382">
        <v>2220114</v>
      </c>
      <c r="B1155" s="426" t="s">
        <v>1209</v>
      </c>
      <c r="C1155" s="198"/>
      <c r="D1155" s="380">
        <f t="shared" si="176"/>
        <v>0</v>
      </c>
      <c r="E1155" s="395"/>
      <c r="F1155" s="396"/>
    </row>
    <row r="1156" s="181" customFormat="true" hidden="true" spans="1:6">
      <c r="A1156" s="382">
        <v>2220115</v>
      </c>
      <c r="B1156" s="426" t="s">
        <v>1210</v>
      </c>
      <c r="C1156" s="198"/>
      <c r="D1156" s="380">
        <f t="shared" si="176"/>
        <v>0</v>
      </c>
      <c r="E1156" s="395" t="e">
        <f>(C1156/#REF!-1)</f>
        <v>#REF!</v>
      </c>
      <c r="F1156" s="396"/>
    </row>
    <row r="1157" s="181" customFormat="true" hidden="true" spans="1:6">
      <c r="A1157" s="382">
        <v>2220118</v>
      </c>
      <c r="B1157" s="426" t="s">
        <v>1211</v>
      </c>
      <c r="C1157" s="198"/>
      <c r="D1157" s="380">
        <f t="shared" si="176"/>
        <v>0</v>
      </c>
      <c r="E1157" s="395"/>
      <c r="F1157" s="396"/>
    </row>
    <row r="1158" s="181" customFormat="true" spans="1:8">
      <c r="A1158" s="382">
        <v>2220119</v>
      </c>
      <c r="B1158" s="426" t="s">
        <v>1212</v>
      </c>
      <c r="C1158" s="198"/>
      <c r="D1158" s="380">
        <f t="shared" si="176"/>
        <v>1</v>
      </c>
      <c r="E1158" s="395"/>
      <c r="F1158" s="396"/>
      <c r="H1158" s="181">
        <v>1</v>
      </c>
    </row>
    <row r="1159" s="181" customFormat="true" hidden="true" spans="1:6">
      <c r="A1159" s="382">
        <v>2220120</v>
      </c>
      <c r="B1159" s="426" t="s">
        <v>1213</v>
      </c>
      <c r="C1159" s="198"/>
      <c r="D1159" s="380">
        <f t="shared" si="176"/>
        <v>0</v>
      </c>
      <c r="E1159" s="395"/>
      <c r="F1159" s="396"/>
    </row>
    <row r="1160" s="181" customFormat="true" hidden="true" spans="1:6">
      <c r="A1160" s="382">
        <v>2220121</v>
      </c>
      <c r="B1160" s="426" t="s">
        <v>1214</v>
      </c>
      <c r="C1160" s="198"/>
      <c r="D1160" s="380">
        <f t="shared" si="176"/>
        <v>0</v>
      </c>
      <c r="E1160" s="395"/>
      <c r="F1160" s="396"/>
    </row>
    <row r="1161" s="181" customFormat="true" hidden="true" spans="1:6">
      <c r="A1161" s="382">
        <v>2220150</v>
      </c>
      <c r="B1161" s="426" t="s">
        <v>315</v>
      </c>
      <c r="C1161" s="198"/>
      <c r="D1161" s="380">
        <f t="shared" si="176"/>
        <v>0</v>
      </c>
      <c r="E1161" s="395"/>
      <c r="F1161" s="396"/>
    </row>
    <row r="1162" s="181" customFormat="true" hidden="true" spans="1:6">
      <c r="A1162" s="382">
        <v>2220199</v>
      </c>
      <c r="B1162" s="426" t="s">
        <v>1215</v>
      </c>
      <c r="C1162" s="198"/>
      <c r="D1162" s="380">
        <f t="shared" ref="D1162:D1225" si="184">F1162+G1162+H1162</f>
        <v>0</v>
      </c>
      <c r="E1162" s="395"/>
      <c r="F1162" s="396"/>
    </row>
    <row r="1163" s="181" customFormat="true" hidden="true" spans="1:8">
      <c r="A1163" s="382">
        <v>22203</v>
      </c>
      <c r="B1163" s="429" t="s">
        <v>1216</v>
      </c>
      <c r="C1163" s="400">
        <f t="shared" ref="C1163:H1163" si="185">SUM(C1164:C1168)</f>
        <v>0</v>
      </c>
      <c r="D1163" s="380">
        <f t="shared" si="184"/>
        <v>0</v>
      </c>
      <c r="E1163" s="395"/>
      <c r="F1163" s="403">
        <f t="shared" si="185"/>
        <v>0</v>
      </c>
      <c r="G1163" s="404">
        <f t="shared" si="185"/>
        <v>0</v>
      </c>
      <c r="H1163" s="404">
        <f t="shared" si="185"/>
        <v>0</v>
      </c>
    </row>
    <row r="1164" s="181" customFormat="true" hidden="true" spans="1:6">
      <c r="A1164" s="382">
        <v>2220301</v>
      </c>
      <c r="B1164" s="426" t="s">
        <v>1217</v>
      </c>
      <c r="C1164" s="198"/>
      <c r="D1164" s="380">
        <f t="shared" si="184"/>
        <v>0</v>
      </c>
      <c r="E1164" s="395"/>
      <c r="F1164" s="396"/>
    </row>
    <row r="1165" s="181" customFormat="true" hidden="true" spans="1:6">
      <c r="A1165" s="382">
        <v>2220303</v>
      </c>
      <c r="B1165" s="426" t="s">
        <v>1218</v>
      </c>
      <c r="C1165" s="198"/>
      <c r="D1165" s="380">
        <f t="shared" si="184"/>
        <v>0</v>
      </c>
      <c r="E1165" s="395"/>
      <c r="F1165" s="396"/>
    </row>
    <row r="1166" s="181" customFormat="true" hidden="true" spans="1:6">
      <c r="A1166" s="382">
        <v>2220304</v>
      </c>
      <c r="B1166" s="426" t="s">
        <v>1219</v>
      </c>
      <c r="C1166" s="198"/>
      <c r="D1166" s="380">
        <f t="shared" si="184"/>
        <v>0</v>
      </c>
      <c r="E1166" s="395"/>
      <c r="F1166" s="396"/>
    </row>
    <row r="1167" s="181" customFormat="true" hidden="true" spans="1:6">
      <c r="A1167" s="382">
        <v>2220305</v>
      </c>
      <c r="B1167" s="426" t="s">
        <v>1220</v>
      </c>
      <c r="C1167" s="198"/>
      <c r="D1167" s="380">
        <f t="shared" si="184"/>
        <v>0</v>
      </c>
      <c r="E1167" s="395"/>
      <c r="F1167" s="396"/>
    </row>
    <row r="1168" s="181" customFormat="true" hidden="true" spans="1:6">
      <c r="A1168" s="382">
        <v>2220399</v>
      </c>
      <c r="B1168" s="426" t="s">
        <v>1221</v>
      </c>
      <c r="C1168" s="198"/>
      <c r="D1168" s="380">
        <f t="shared" si="184"/>
        <v>0</v>
      </c>
      <c r="E1168" s="395"/>
      <c r="F1168" s="396"/>
    </row>
    <row r="1169" s="181" customFormat="true" hidden="true" spans="1:8">
      <c r="A1169" s="382">
        <v>22204</v>
      </c>
      <c r="B1169" s="429" t="s">
        <v>1222</v>
      </c>
      <c r="C1169" s="400">
        <f t="shared" ref="C1169:H1169" si="186">SUM(C1170:C1174)</f>
        <v>0</v>
      </c>
      <c r="D1169" s="380">
        <f t="shared" si="184"/>
        <v>0</v>
      </c>
      <c r="E1169" s="395"/>
      <c r="F1169" s="403">
        <f t="shared" si="186"/>
        <v>0</v>
      </c>
      <c r="G1169" s="404">
        <f t="shared" si="186"/>
        <v>0</v>
      </c>
      <c r="H1169" s="404">
        <f t="shared" si="186"/>
        <v>0</v>
      </c>
    </row>
    <row r="1170" s="181" customFormat="true" hidden="true" spans="1:6">
      <c r="A1170" s="382">
        <v>2220401</v>
      </c>
      <c r="B1170" s="426" t="s">
        <v>1223</v>
      </c>
      <c r="C1170" s="198"/>
      <c r="D1170" s="380">
        <f t="shared" si="184"/>
        <v>0</v>
      </c>
      <c r="E1170" s="395"/>
      <c r="F1170" s="396"/>
    </row>
    <row r="1171" s="181" customFormat="true" hidden="true" spans="1:6">
      <c r="A1171" s="382">
        <v>2220402</v>
      </c>
      <c r="B1171" s="426" t="s">
        <v>1224</v>
      </c>
      <c r="C1171" s="198"/>
      <c r="D1171" s="380">
        <f t="shared" si="184"/>
        <v>0</v>
      </c>
      <c r="E1171" s="395"/>
      <c r="F1171" s="396"/>
    </row>
    <row r="1172" s="181" customFormat="true" hidden="true" spans="1:6">
      <c r="A1172" s="382">
        <v>2220403</v>
      </c>
      <c r="B1172" s="426" t="s">
        <v>1225</v>
      </c>
      <c r="C1172" s="198"/>
      <c r="D1172" s="380">
        <f t="shared" si="184"/>
        <v>0</v>
      </c>
      <c r="E1172" s="395"/>
      <c r="F1172" s="396"/>
    </row>
    <row r="1173" s="181" customFormat="true" hidden="true" spans="1:6">
      <c r="A1173" s="382">
        <v>2220404</v>
      </c>
      <c r="B1173" s="426" t="s">
        <v>1226</v>
      </c>
      <c r="C1173" s="198"/>
      <c r="D1173" s="380">
        <f t="shared" si="184"/>
        <v>0</v>
      </c>
      <c r="E1173" s="395"/>
      <c r="F1173" s="396"/>
    </row>
    <row r="1174" s="181" customFormat="true" hidden="true" spans="1:6">
      <c r="A1174" s="382">
        <v>2220499</v>
      </c>
      <c r="B1174" s="426" t="s">
        <v>1227</v>
      </c>
      <c r="C1174" s="198"/>
      <c r="D1174" s="380">
        <f t="shared" si="184"/>
        <v>0</v>
      </c>
      <c r="E1174" s="395"/>
      <c r="F1174" s="396"/>
    </row>
    <row r="1175" s="181" customFormat="true" hidden="true" spans="1:8">
      <c r="A1175" s="382">
        <v>22205</v>
      </c>
      <c r="B1175" s="429" t="s">
        <v>1228</v>
      </c>
      <c r="C1175" s="400">
        <f t="shared" ref="C1175:H1175" si="187">SUM(C1176:C1187)</f>
        <v>0</v>
      </c>
      <c r="D1175" s="380">
        <f t="shared" si="184"/>
        <v>0</v>
      </c>
      <c r="E1175" s="395" t="e">
        <f>(C1175/#REF!-1)</f>
        <v>#REF!</v>
      </c>
      <c r="F1175" s="403">
        <f t="shared" si="187"/>
        <v>0</v>
      </c>
      <c r="G1175" s="404">
        <f t="shared" si="187"/>
        <v>0</v>
      </c>
      <c r="H1175" s="404">
        <f t="shared" si="187"/>
        <v>0</v>
      </c>
    </row>
    <row r="1176" s="181" customFormat="true" hidden="true" spans="1:6">
      <c r="A1176" s="382">
        <v>2220501</v>
      </c>
      <c r="B1176" s="426" t="s">
        <v>1229</v>
      </c>
      <c r="C1176" s="198"/>
      <c r="D1176" s="380">
        <f t="shared" si="184"/>
        <v>0</v>
      </c>
      <c r="E1176" s="395"/>
      <c r="F1176" s="396"/>
    </row>
    <row r="1177" s="181" customFormat="true" hidden="true" spans="1:6">
      <c r="A1177" s="382">
        <v>2220502</v>
      </c>
      <c r="B1177" s="426" t="s">
        <v>1230</v>
      </c>
      <c r="C1177" s="198"/>
      <c r="D1177" s="380">
        <f t="shared" si="184"/>
        <v>0</v>
      </c>
      <c r="E1177" s="395"/>
      <c r="F1177" s="396"/>
    </row>
    <row r="1178" s="181" customFormat="true" hidden="true" spans="1:6">
      <c r="A1178" s="382">
        <v>2220503</v>
      </c>
      <c r="B1178" s="426" t="s">
        <v>1231</v>
      </c>
      <c r="C1178" s="198"/>
      <c r="D1178" s="380">
        <f t="shared" si="184"/>
        <v>0</v>
      </c>
      <c r="E1178" s="395" t="e">
        <f>(C1178/#REF!-1)</f>
        <v>#REF!</v>
      </c>
      <c r="F1178" s="396"/>
    </row>
    <row r="1179" s="181" customFormat="true" hidden="true" spans="1:6">
      <c r="A1179" s="382">
        <v>2220504</v>
      </c>
      <c r="B1179" s="426" t="s">
        <v>1232</v>
      </c>
      <c r="C1179" s="198"/>
      <c r="D1179" s="380">
        <f t="shared" si="184"/>
        <v>0</v>
      </c>
      <c r="E1179" s="395"/>
      <c r="F1179" s="396"/>
    </row>
    <row r="1180" s="181" customFormat="true" hidden="true" spans="1:6">
      <c r="A1180" s="382">
        <v>2220505</v>
      </c>
      <c r="B1180" s="426" t="s">
        <v>1233</v>
      </c>
      <c r="C1180" s="198"/>
      <c r="D1180" s="380">
        <f t="shared" si="184"/>
        <v>0</v>
      </c>
      <c r="E1180" s="395"/>
      <c r="F1180" s="396"/>
    </row>
    <row r="1181" s="181" customFormat="true" hidden="true" spans="1:6">
      <c r="A1181" s="382">
        <v>2220506</v>
      </c>
      <c r="B1181" s="426" t="s">
        <v>1234</v>
      </c>
      <c r="C1181" s="198"/>
      <c r="D1181" s="380">
        <f t="shared" si="184"/>
        <v>0</v>
      </c>
      <c r="E1181" s="395"/>
      <c r="F1181" s="396"/>
    </row>
    <row r="1182" s="181" customFormat="true" hidden="true" spans="1:6">
      <c r="A1182" s="382">
        <v>2220507</v>
      </c>
      <c r="B1182" s="426" t="s">
        <v>1235</v>
      </c>
      <c r="C1182" s="198"/>
      <c r="D1182" s="380">
        <f t="shared" si="184"/>
        <v>0</v>
      </c>
      <c r="E1182" s="395"/>
      <c r="F1182" s="396"/>
    </row>
    <row r="1183" s="181" customFormat="true" hidden="true" spans="1:6">
      <c r="A1183" s="382">
        <v>2220508</v>
      </c>
      <c r="B1183" s="426" t="s">
        <v>1236</v>
      </c>
      <c r="C1183" s="198"/>
      <c r="D1183" s="380">
        <f t="shared" si="184"/>
        <v>0</v>
      </c>
      <c r="E1183" s="395"/>
      <c r="F1183" s="396"/>
    </row>
    <row r="1184" s="181" customFormat="true" hidden="true" spans="1:6">
      <c r="A1184" s="382">
        <v>2220509</v>
      </c>
      <c r="B1184" s="426" t="s">
        <v>1237</v>
      </c>
      <c r="C1184" s="198"/>
      <c r="D1184" s="380">
        <f t="shared" si="184"/>
        <v>0</v>
      </c>
      <c r="E1184" s="395"/>
      <c r="F1184" s="396"/>
    </row>
    <row r="1185" s="181" customFormat="true" hidden="true" spans="1:6">
      <c r="A1185" s="382">
        <v>2220510</v>
      </c>
      <c r="B1185" s="426" t="s">
        <v>1238</v>
      </c>
      <c r="C1185" s="198"/>
      <c r="D1185" s="380">
        <f t="shared" si="184"/>
        <v>0</v>
      </c>
      <c r="E1185" s="395"/>
      <c r="F1185" s="396"/>
    </row>
    <row r="1186" s="181" customFormat="true" hidden="true" spans="1:6">
      <c r="A1186" s="382">
        <v>2220511</v>
      </c>
      <c r="B1186" s="426" t="s">
        <v>1239</v>
      </c>
      <c r="C1186" s="198"/>
      <c r="D1186" s="380">
        <f t="shared" si="184"/>
        <v>0</v>
      </c>
      <c r="E1186" s="395" t="e">
        <f>(C1186/#REF!-1)</f>
        <v>#REF!</v>
      </c>
      <c r="F1186" s="396"/>
    </row>
    <row r="1187" s="181" customFormat="true" hidden="true" spans="1:6">
      <c r="A1187" s="382">
        <v>2220599</v>
      </c>
      <c r="B1187" s="426" t="s">
        <v>1240</v>
      </c>
      <c r="C1187" s="198"/>
      <c r="D1187" s="380">
        <f t="shared" si="184"/>
        <v>0</v>
      </c>
      <c r="E1187" s="395"/>
      <c r="F1187" s="396"/>
    </row>
    <row r="1188" s="362" customFormat="true" spans="1:8">
      <c r="A1188" s="373">
        <v>224</v>
      </c>
      <c r="B1188" s="425" t="s">
        <v>1241</v>
      </c>
      <c r="C1188" s="375">
        <f t="shared" ref="C1188:H1188" si="188">SUM(C1189,C1200,C1206,C1214,C1227,C1231,C1235)</f>
        <v>3954</v>
      </c>
      <c r="D1188" s="376">
        <f t="shared" si="184"/>
        <v>3802</v>
      </c>
      <c r="E1188" s="224">
        <f>(D1188/C1188-1)</f>
        <v>-0.0384420839656044</v>
      </c>
      <c r="F1188" s="415">
        <f t="shared" si="188"/>
        <v>3422</v>
      </c>
      <c r="G1188" s="362">
        <f t="shared" si="188"/>
        <v>0</v>
      </c>
      <c r="H1188" s="362">
        <f t="shared" si="188"/>
        <v>380</v>
      </c>
    </row>
    <row r="1189" s="360" customFormat="true" spans="1:8">
      <c r="A1189" s="377">
        <v>22401</v>
      </c>
      <c r="B1189" s="424" t="s">
        <v>1242</v>
      </c>
      <c r="C1189" s="379">
        <f t="shared" ref="C1189:H1189" si="189">SUM(C1190:C1199)</f>
        <v>550</v>
      </c>
      <c r="D1189" s="380">
        <f t="shared" si="184"/>
        <v>764</v>
      </c>
      <c r="E1189" s="224">
        <f>(D1189/C1189-1)</f>
        <v>0.389090909090909</v>
      </c>
      <c r="F1189" s="397">
        <f t="shared" si="189"/>
        <v>690</v>
      </c>
      <c r="G1189" s="402">
        <f t="shared" si="189"/>
        <v>0</v>
      </c>
      <c r="H1189" s="402">
        <f t="shared" si="189"/>
        <v>74</v>
      </c>
    </row>
    <row r="1190" s="360" customFormat="true" spans="1:6">
      <c r="A1190" s="377">
        <v>2240101</v>
      </c>
      <c r="B1190" s="424" t="s">
        <v>306</v>
      </c>
      <c r="C1190" s="381">
        <v>437</v>
      </c>
      <c r="D1190" s="380">
        <f t="shared" si="184"/>
        <v>435</v>
      </c>
      <c r="E1190" s="224">
        <f>(D1190/C1190-1)</f>
        <v>-0.00457665903890159</v>
      </c>
      <c r="F1190" s="380">
        <v>435</v>
      </c>
    </row>
    <row r="1191" s="360" customFormat="true" spans="1:8">
      <c r="A1191" s="377">
        <v>2240102</v>
      </c>
      <c r="B1191" s="424" t="s">
        <v>307</v>
      </c>
      <c r="C1191" s="381">
        <v>80</v>
      </c>
      <c r="D1191" s="380">
        <f t="shared" si="184"/>
        <v>84</v>
      </c>
      <c r="E1191" s="224">
        <f>(D1191/C1191-1)</f>
        <v>0.05</v>
      </c>
      <c r="F1191" s="380">
        <v>55</v>
      </c>
      <c r="H1191" s="360">
        <v>29</v>
      </c>
    </row>
    <row r="1192" s="181" customFormat="true" hidden="true" spans="1:6">
      <c r="A1192" s="382">
        <v>2240103</v>
      </c>
      <c r="B1192" s="426" t="s">
        <v>308</v>
      </c>
      <c r="C1192" s="198"/>
      <c r="D1192" s="380">
        <f t="shared" si="184"/>
        <v>0</v>
      </c>
      <c r="E1192" s="395"/>
      <c r="F1192" s="396"/>
    </row>
    <row r="1193" s="181" customFormat="true" spans="1:8">
      <c r="A1193" s="382">
        <v>2240104</v>
      </c>
      <c r="B1193" s="426" t="s">
        <v>1243</v>
      </c>
      <c r="C1193" s="198"/>
      <c r="D1193" s="380">
        <f t="shared" si="184"/>
        <v>5</v>
      </c>
      <c r="E1193" s="224">
        <v>0</v>
      </c>
      <c r="F1193" s="396"/>
      <c r="H1193" s="181">
        <v>5</v>
      </c>
    </row>
    <row r="1194" s="181" customFormat="true" hidden="true" spans="1:6">
      <c r="A1194" s="382">
        <v>2240105</v>
      </c>
      <c r="B1194" s="426" t="s">
        <v>1244</v>
      </c>
      <c r="C1194" s="198"/>
      <c r="D1194" s="380">
        <f t="shared" si="184"/>
        <v>0</v>
      </c>
      <c r="E1194" s="224"/>
      <c r="F1194" s="396"/>
    </row>
    <row r="1195" s="181" customFormat="true" spans="1:8">
      <c r="A1195" s="382">
        <v>2240106</v>
      </c>
      <c r="B1195" s="426" t="s">
        <v>1245</v>
      </c>
      <c r="C1195" s="198"/>
      <c r="D1195" s="380">
        <f t="shared" si="184"/>
        <v>40</v>
      </c>
      <c r="E1195" s="224">
        <v>0</v>
      </c>
      <c r="F1195" s="396"/>
      <c r="H1195" s="181">
        <v>40</v>
      </c>
    </row>
    <row r="1196" s="181" customFormat="true" hidden="true" spans="1:6">
      <c r="A1196" s="382">
        <v>2240108</v>
      </c>
      <c r="B1196" s="426" t="s">
        <v>1246</v>
      </c>
      <c r="C1196" s="198"/>
      <c r="D1196" s="380">
        <f t="shared" si="184"/>
        <v>0</v>
      </c>
      <c r="E1196" s="224" t="e">
        <f>(C1196/#REF!-1)</f>
        <v>#REF!</v>
      </c>
      <c r="F1196" s="396"/>
    </row>
    <row r="1197" s="360" customFormat="true" hidden="true" spans="1:6">
      <c r="A1197" s="377">
        <v>2240109</v>
      </c>
      <c r="B1197" s="424" t="s">
        <v>1247</v>
      </c>
      <c r="C1197" s="381">
        <v>33</v>
      </c>
      <c r="D1197" s="380">
        <f t="shared" si="184"/>
        <v>0</v>
      </c>
      <c r="E1197" s="224">
        <f>(D1197/C1197-1)</f>
        <v>-1</v>
      </c>
      <c r="F1197" s="380"/>
    </row>
    <row r="1198" s="181" customFormat="true" hidden="true" spans="1:6">
      <c r="A1198" s="382">
        <v>2240150</v>
      </c>
      <c r="B1198" s="426" t="s">
        <v>315</v>
      </c>
      <c r="C1198" s="198"/>
      <c r="D1198" s="380">
        <f t="shared" si="184"/>
        <v>0</v>
      </c>
      <c r="E1198" s="224"/>
      <c r="F1198" s="396"/>
    </row>
    <row r="1199" s="181" customFormat="true" spans="1:6">
      <c r="A1199" s="382">
        <v>2240199</v>
      </c>
      <c r="B1199" s="426" t="s">
        <v>1248</v>
      </c>
      <c r="C1199" s="198"/>
      <c r="D1199" s="380">
        <f t="shared" si="184"/>
        <v>200</v>
      </c>
      <c r="E1199" s="224">
        <v>0</v>
      </c>
      <c r="F1199" s="396">
        <v>200</v>
      </c>
    </row>
    <row r="1200" s="360" customFormat="true" spans="1:8">
      <c r="A1200" s="377">
        <v>22402</v>
      </c>
      <c r="B1200" s="424" t="s">
        <v>1249</v>
      </c>
      <c r="C1200" s="379">
        <f t="shared" ref="C1200:H1200" si="190">SUM(C1201:C1205)</f>
        <v>2574</v>
      </c>
      <c r="D1200" s="380">
        <f t="shared" si="184"/>
        <v>2554</v>
      </c>
      <c r="E1200" s="224">
        <f>(D1200/C1200-1)</f>
        <v>-0.0077700077700078</v>
      </c>
      <c r="F1200" s="397">
        <f t="shared" si="190"/>
        <v>2554</v>
      </c>
      <c r="G1200" s="402">
        <f t="shared" si="190"/>
        <v>0</v>
      </c>
      <c r="H1200" s="402">
        <f t="shared" si="190"/>
        <v>0</v>
      </c>
    </row>
    <row r="1201" s="181" customFormat="true" hidden="true" spans="1:6">
      <c r="A1201" s="382">
        <v>2240201</v>
      </c>
      <c r="B1201" s="426" t="s">
        <v>306</v>
      </c>
      <c r="C1201" s="198"/>
      <c r="D1201" s="380">
        <f t="shared" si="184"/>
        <v>0</v>
      </c>
      <c r="E1201" s="395"/>
      <c r="F1201" s="396"/>
    </row>
    <row r="1202" s="181" customFormat="true" hidden="true" spans="1:6">
      <c r="A1202" s="382">
        <v>2240202</v>
      </c>
      <c r="B1202" s="426" t="s">
        <v>307</v>
      </c>
      <c r="C1202" s="198"/>
      <c r="D1202" s="380">
        <f t="shared" si="184"/>
        <v>0</v>
      </c>
      <c r="E1202" s="395"/>
      <c r="F1202" s="396"/>
    </row>
    <row r="1203" s="181" customFormat="true" hidden="true" spans="1:6">
      <c r="A1203" s="382">
        <v>2240203</v>
      </c>
      <c r="B1203" s="426" t="s">
        <v>308</v>
      </c>
      <c r="C1203" s="198"/>
      <c r="D1203" s="380">
        <f t="shared" si="184"/>
        <v>0</v>
      </c>
      <c r="E1203" s="395"/>
      <c r="F1203" s="396"/>
    </row>
    <row r="1204" s="360" customFormat="true" spans="1:6">
      <c r="A1204" s="377">
        <v>2240204</v>
      </c>
      <c r="B1204" s="424" t="s">
        <v>1250</v>
      </c>
      <c r="C1204" s="381">
        <v>827</v>
      </c>
      <c r="D1204" s="380">
        <f t="shared" si="184"/>
        <v>2481</v>
      </c>
      <c r="E1204" s="224">
        <f>(D1204/C1204-1)</f>
        <v>2</v>
      </c>
      <c r="F1204" s="380">
        <v>2481</v>
      </c>
    </row>
    <row r="1205" s="360" customFormat="true" spans="1:6">
      <c r="A1205" s="377">
        <v>2240299</v>
      </c>
      <c r="B1205" s="424" t="s">
        <v>1251</v>
      </c>
      <c r="C1205" s="381">
        <v>1747</v>
      </c>
      <c r="D1205" s="380">
        <f t="shared" si="184"/>
        <v>73</v>
      </c>
      <c r="E1205" s="224">
        <f>(D1205/C1205-1)</f>
        <v>-0.958214081282198</v>
      </c>
      <c r="F1205" s="380">
        <v>73</v>
      </c>
    </row>
    <row r="1206" s="181" customFormat="true" hidden="true" spans="1:8">
      <c r="A1206" s="382">
        <v>22404</v>
      </c>
      <c r="B1206" s="429" t="s">
        <v>1252</v>
      </c>
      <c r="C1206" s="400">
        <f t="shared" ref="C1206:H1206" si="191">SUM(C1207:C1213)</f>
        <v>0</v>
      </c>
      <c r="D1206" s="380">
        <f t="shared" si="184"/>
        <v>0</v>
      </c>
      <c r="E1206" s="395"/>
      <c r="F1206" s="403">
        <f t="shared" si="191"/>
        <v>0</v>
      </c>
      <c r="G1206" s="404">
        <f t="shared" si="191"/>
        <v>0</v>
      </c>
      <c r="H1206" s="404">
        <f t="shared" si="191"/>
        <v>0</v>
      </c>
    </row>
    <row r="1207" s="181" customFormat="true" hidden="true" spans="1:6">
      <c r="A1207" s="382">
        <v>2240401</v>
      </c>
      <c r="B1207" s="426" t="s">
        <v>306</v>
      </c>
      <c r="C1207" s="198"/>
      <c r="D1207" s="380">
        <f t="shared" si="184"/>
        <v>0</v>
      </c>
      <c r="E1207" s="395"/>
      <c r="F1207" s="396"/>
    </row>
    <row r="1208" s="181" customFormat="true" hidden="true" spans="1:6">
      <c r="A1208" s="382">
        <v>2240402</v>
      </c>
      <c r="B1208" s="426" t="s">
        <v>307</v>
      </c>
      <c r="C1208" s="198"/>
      <c r="D1208" s="380">
        <f t="shared" si="184"/>
        <v>0</v>
      </c>
      <c r="E1208" s="395"/>
      <c r="F1208" s="396"/>
    </row>
    <row r="1209" s="181" customFormat="true" hidden="true" spans="1:6">
      <c r="A1209" s="382">
        <v>2240403</v>
      </c>
      <c r="B1209" s="426" t="s">
        <v>308</v>
      </c>
      <c r="C1209" s="198"/>
      <c r="D1209" s="380">
        <f t="shared" si="184"/>
        <v>0</v>
      </c>
      <c r="E1209" s="395"/>
      <c r="F1209" s="396"/>
    </row>
    <row r="1210" s="181" customFormat="true" hidden="true" spans="1:6">
      <c r="A1210" s="382">
        <v>2240404</v>
      </c>
      <c r="B1210" s="426" t="s">
        <v>1253</v>
      </c>
      <c r="C1210" s="198"/>
      <c r="D1210" s="380">
        <f t="shared" si="184"/>
        <v>0</v>
      </c>
      <c r="E1210" s="395"/>
      <c r="F1210" s="396"/>
    </row>
    <row r="1211" s="181" customFormat="true" hidden="true" spans="1:6">
      <c r="A1211" s="382">
        <v>2240405</v>
      </c>
      <c r="B1211" s="426" t="s">
        <v>1254</v>
      </c>
      <c r="C1211" s="198"/>
      <c r="D1211" s="380">
        <f t="shared" si="184"/>
        <v>0</v>
      </c>
      <c r="E1211" s="395"/>
      <c r="F1211" s="396"/>
    </row>
    <row r="1212" s="181" customFormat="true" hidden="true" spans="1:6">
      <c r="A1212" s="382">
        <v>2240450</v>
      </c>
      <c r="B1212" s="426" t="s">
        <v>315</v>
      </c>
      <c r="C1212" s="198"/>
      <c r="D1212" s="380">
        <f t="shared" si="184"/>
        <v>0</v>
      </c>
      <c r="E1212" s="395"/>
      <c r="F1212" s="396"/>
    </row>
    <row r="1213" s="181" customFormat="true" hidden="true" spans="1:6">
      <c r="A1213" s="382">
        <v>2240499</v>
      </c>
      <c r="B1213" s="426" t="s">
        <v>1255</v>
      </c>
      <c r="C1213" s="198"/>
      <c r="D1213" s="380">
        <f t="shared" si="184"/>
        <v>0</v>
      </c>
      <c r="E1213" s="395"/>
      <c r="F1213" s="396"/>
    </row>
    <row r="1214" s="360" customFormat="true" spans="1:8">
      <c r="A1214" s="377">
        <v>22405</v>
      </c>
      <c r="B1214" s="424" t="s">
        <v>1256</v>
      </c>
      <c r="C1214" s="379">
        <f t="shared" ref="C1214:H1214" si="192">SUM(C1215:C1226)</f>
        <v>174</v>
      </c>
      <c r="D1214" s="380">
        <f t="shared" si="184"/>
        <v>178</v>
      </c>
      <c r="E1214" s="224">
        <f>(D1214/C1214-1)</f>
        <v>0.0229885057471264</v>
      </c>
      <c r="F1214" s="397">
        <f t="shared" si="192"/>
        <v>178</v>
      </c>
      <c r="G1214" s="402">
        <f t="shared" si="192"/>
        <v>0</v>
      </c>
      <c r="H1214" s="402">
        <f t="shared" si="192"/>
        <v>0</v>
      </c>
    </row>
    <row r="1215" s="360" customFormat="true" spans="1:6">
      <c r="A1215" s="377">
        <v>2240501</v>
      </c>
      <c r="B1215" s="424" t="s">
        <v>306</v>
      </c>
      <c r="C1215" s="381">
        <v>164</v>
      </c>
      <c r="D1215" s="380">
        <f t="shared" si="184"/>
        <v>169</v>
      </c>
      <c r="E1215" s="224">
        <f>(D1215/C1215-1)</f>
        <v>0.0304878048780488</v>
      </c>
      <c r="F1215" s="380">
        <v>169</v>
      </c>
    </row>
    <row r="1216" s="360" customFormat="true" spans="1:6">
      <c r="A1216" s="377">
        <v>2240502</v>
      </c>
      <c r="B1216" s="424" t="s">
        <v>307</v>
      </c>
      <c r="C1216" s="381">
        <v>10</v>
      </c>
      <c r="D1216" s="380">
        <f t="shared" si="184"/>
        <v>9</v>
      </c>
      <c r="E1216" s="224">
        <f>(D1216/C1216-1)</f>
        <v>-0.1</v>
      </c>
      <c r="F1216" s="380">
        <v>9</v>
      </c>
    </row>
    <row r="1217" s="181" customFormat="true" hidden="true" spans="1:6">
      <c r="A1217" s="382">
        <v>2240503</v>
      </c>
      <c r="B1217" s="426" t="s">
        <v>308</v>
      </c>
      <c r="C1217" s="198"/>
      <c r="D1217" s="380">
        <f t="shared" si="184"/>
        <v>0</v>
      </c>
      <c r="E1217" s="395"/>
      <c r="F1217" s="396"/>
    </row>
    <row r="1218" s="181" customFormat="true" hidden="true" spans="1:6">
      <c r="A1218" s="382">
        <v>2240504</v>
      </c>
      <c r="B1218" s="426" t="s">
        <v>1257</v>
      </c>
      <c r="C1218" s="198"/>
      <c r="D1218" s="380">
        <f t="shared" si="184"/>
        <v>0</v>
      </c>
      <c r="E1218" s="395"/>
      <c r="F1218" s="396"/>
    </row>
    <row r="1219" s="181" customFormat="true" hidden="true" spans="1:6">
      <c r="A1219" s="382">
        <v>2240505</v>
      </c>
      <c r="B1219" s="426" t="s">
        <v>1258</v>
      </c>
      <c r="C1219" s="198"/>
      <c r="D1219" s="380">
        <f t="shared" si="184"/>
        <v>0</v>
      </c>
      <c r="E1219" s="395"/>
      <c r="F1219" s="396"/>
    </row>
    <row r="1220" s="181" customFormat="true" hidden="true" spans="1:6">
      <c r="A1220" s="382">
        <v>2240506</v>
      </c>
      <c r="B1220" s="426" t="s">
        <v>1259</v>
      </c>
      <c r="C1220" s="198"/>
      <c r="D1220" s="380">
        <f t="shared" si="184"/>
        <v>0</v>
      </c>
      <c r="E1220" s="395"/>
      <c r="F1220" s="396"/>
    </row>
    <row r="1221" s="181" customFormat="true" hidden="true" spans="1:6">
      <c r="A1221" s="382">
        <v>2240507</v>
      </c>
      <c r="B1221" s="426" t="s">
        <v>1260</v>
      </c>
      <c r="C1221" s="198"/>
      <c r="D1221" s="380">
        <f t="shared" si="184"/>
        <v>0</v>
      </c>
      <c r="E1221" s="395"/>
      <c r="F1221" s="396"/>
    </row>
    <row r="1222" s="181" customFormat="true" hidden="true" spans="1:6">
      <c r="A1222" s="382">
        <v>2240508</v>
      </c>
      <c r="B1222" s="426" t="s">
        <v>1261</v>
      </c>
      <c r="C1222" s="198"/>
      <c r="D1222" s="380">
        <f t="shared" si="184"/>
        <v>0</v>
      </c>
      <c r="E1222" s="395"/>
      <c r="F1222" s="396"/>
    </row>
    <row r="1223" s="181" customFormat="true" hidden="true" spans="1:6">
      <c r="A1223" s="382">
        <v>2240509</v>
      </c>
      <c r="B1223" s="426" t="s">
        <v>1262</v>
      </c>
      <c r="C1223" s="198"/>
      <c r="D1223" s="380">
        <f t="shared" si="184"/>
        <v>0</v>
      </c>
      <c r="E1223" s="395"/>
      <c r="F1223" s="396"/>
    </row>
    <row r="1224" s="181" customFormat="true" hidden="true" spans="1:6">
      <c r="A1224" s="382">
        <v>2240510</v>
      </c>
      <c r="B1224" s="426" t="s">
        <v>1263</v>
      </c>
      <c r="C1224" s="198"/>
      <c r="D1224" s="380">
        <f t="shared" si="184"/>
        <v>0</v>
      </c>
      <c r="E1224" s="395"/>
      <c r="F1224" s="396"/>
    </row>
    <row r="1225" s="181" customFormat="true" hidden="true" spans="1:6">
      <c r="A1225" s="382">
        <v>2240550</v>
      </c>
      <c r="B1225" s="426" t="s">
        <v>1264</v>
      </c>
      <c r="C1225" s="198"/>
      <c r="D1225" s="380">
        <f t="shared" si="184"/>
        <v>0</v>
      </c>
      <c r="E1225" s="395"/>
      <c r="F1225" s="396"/>
    </row>
    <row r="1226" s="181" customFormat="true" hidden="true" spans="1:6">
      <c r="A1226" s="382">
        <v>2240599</v>
      </c>
      <c r="B1226" s="426" t="s">
        <v>1265</v>
      </c>
      <c r="C1226" s="198"/>
      <c r="D1226" s="380">
        <f t="shared" ref="D1226:D1249" si="193">F1226+G1226+H1226</f>
        <v>0</v>
      </c>
      <c r="E1226" s="395"/>
      <c r="F1226" s="396"/>
    </row>
    <row r="1227" s="360" customFormat="true" spans="1:8">
      <c r="A1227" s="377">
        <v>22406</v>
      </c>
      <c r="B1227" s="424" t="s">
        <v>1266</v>
      </c>
      <c r="C1227" s="379">
        <f t="shared" ref="C1227:H1227" si="194">SUM(C1228:C1230)</f>
        <v>262</v>
      </c>
      <c r="D1227" s="380">
        <f t="shared" si="193"/>
        <v>34</v>
      </c>
      <c r="E1227" s="224">
        <f>(D1227/C1227-1)</f>
        <v>-0.870229007633588</v>
      </c>
      <c r="F1227" s="397">
        <f t="shared" si="194"/>
        <v>0</v>
      </c>
      <c r="G1227" s="402">
        <f t="shared" si="194"/>
        <v>0</v>
      </c>
      <c r="H1227" s="402">
        <f t="shared" si="194"/>
        <v>34</v>
      </c>
    </row>
    <row r="1228" s="181" customFormat="true" hidden="true" spans="1:6">
      <c r="A1228" s="382">
        <v>2240601</v>
      </c>
      <c r="B1228" s="426" t="s">
        <v>1267</v>
      </c>
      <c r="C1228" s="198"/>
      <c r="D1228" s="380">
        <f t="shared" si="193"/>
        <v>0</v>
      </c>
      <c r="E1228" s="395"/>
      <c r="F1228" s="396"/>
    </row>
    <row r="1229" s="360" customFormat="true" hidden="true" spans="1:6">
      <c r="A1229" s="377">
        <v>2240602</v>
      </c>
      <c r="B1229" s="424" t="s">
        <v>1268</v>
      </c>
      <c r="C1229" s="381">
        <v>11</v>
      </c>
      <c r="D1229" s="380">
        <f t="shared" si="193"/>
        <v>0</v>
      </c>
      <c r="E1229" s="224">
        <f>(D1229/C1229-1)</f>
        <v>-1</v>
      </c>
      <c r="F1229" s="380"/>
    </row>
    <row r="1230" s="360" customFormat="true" spans="1:8">
      <c r="A1230" s="377">
        <v>2240699</v>
      </c>
      <c r="B1230" s="424" t="s">
        <v>1269</v>
      </c>
      <c r="C1230" s="381">
        <v>251</v>
      </c>
      <c r="D1230" s="380">
        <f t="shared" si="193"/>
        <v>34</v>
      </c>
      <c r="E1230" s="224">
        <f>(D1230/C1230-1)</f>
        <v>-0.864541832669323</v>
      </c>
      <c r="F1230" s="380"/>
      <c r="H1230" s="360">
        <v>34</v>
      </c>
    </row>
    <row r="1231" s="181" customFormat="true" hidden="true" spans="1:8">
      <c r="A1231" s="382">
        <v>22407</v>
      </c>
      <c r="B1231" s="429" t="s">
        <v>1270</v>
      </c>
      <c r="C1231" s="400">
        <f t="shared" ref="C1231:H1231" si="195">SUM(C1232:C1234)</f>
        <v>0</v>
      </c>
      <c r="D1231" s="380">
        <f t="shared" si="193"/>
        <v>0</v>
      </c>
      <c r="E1231" s="395"/>
      <c r="F1231" s="403">
        <f t="shared" si="195"/>
        <v>0</v>
      </c>
      <c r="G1231" s="404">
        <f t="shared" si="195"/>
        <v>0</v>
      </c>
      <c r="H1231" s="404">
        <f t="shared" si="195"/>
        <v>0</v>
      </c>
    </row>
    <row r="1232" s="181" customFormat="true" hidden="true" spans="1:6">
      <c r="A1232" s="382">
        <v>2240703</v>
      </c>
      <c r="B1232" s="426" t="s">
        <v>1271</v>
      </c>
      <c r="C1232" s="198"/>
      <c r="D1232" s="380">
        <f t="shared" si="193"/>
        <v>0</v>
      </c>
      <c r="E1232" s="395"/>
      <c r="F1232" s="396"/>
    </row>
    <row r="1233" s="181" customFormat="true" hidden="true" spans="1:6">
      <c r="A1233" s="382">
        <v>2240704</v>
      </c>
      <c r="B1233" s="426" t="s">
        <v>1272</v>
      </c>
      <c r="C1233" s="198"/>
      <c r="D1233" s="380">
        <f t="shared" si="193"/>
        <v>0</v>
      </c>
      <c r="E1233" s="395"/>
      <c r="F1233" s="396"/>
    </row>
    <row r="1234" s="181" customFormat="true" hidden="true" spans="1:6">
      <c r="A1234" s="382">
        <v>2240799</v>
      </c>
      <c r="B1234" s="426" t="s">
        <v>1273</v>
      </c>
      <c r="C1234" s="198"/>
      <c r="D1234" s="380">
        <f t="shared" si="193"/>
        <v>0</v>
      </c>
      <c r="E1234" s="395"/>
      <c r="F1234" s="396"/>
    </row>
    <row r="1235" s="360" customFormat="true" spans="1:8">
      <c r="A1235" s="377">
        <v>22499</v>
      </c>
      <c r="B1235" s="424" t="s">
        <v>1274</v>
      </c>
      <c r="C1235" s="381">
        <v>394</v>
      </c>
      <c r="D1235" s="380">
        <f t="shared" si="193"/>
        <v>272</v>
      </c>
      <c r="E1235" s="224">
        <f>(D1235/C1235-1)</f>
        <v>-0.309644670050761</v>
      </c>
      <c r="F1235" s="380"/>
      <c r="G1235" s="402"/>
      <c r="H1235" s="402">
        <v>272</v>
      </c>
    </row>
    <row r="1236" s="362" customFormat="true" spans="1:6">
      <c r="A1236" s="373">
        <v>227</v>
      </c>
      <c r="B1236" s="425" t="s">
        <v>1275</v>
      </c>
      <c r="C1236" s="438">
        <v>2000</v>
      </c>
      <c r="D1236" s="376">
        <f t="shared" si="193"/>
        <v>2000</v>
      </c>
      <c r="E1236" s="224">
        <f>(D1236/C1236-1)</f>
        <v>0</v>
      </c>
      <c r="F1236" s="376">
        <v>2000</v>
      </c>
    </row>
    <row r="1237" s="181" customFormat="true" spans="1:8">
      <c r="A1237" s="382">
        <v>229</v>
      </c>
      <c r="B1237" s="439" t="s">
        <v>1276</v>
      </c>
      <c r="C1237" s="436">
        <f t="shared" ref="C1237:H1237" si="196">SUM(C1238:C1239)</f>
        <v>0</v>
      </c>
      <c r="D1237" s="380">
        <f t="shared" si="193"/>
        <v>317</v>
      </c>
      <c r="E1237" s="395"/>
      <c r="F1237" s="437">
        <f t="shared" si="196"/>
        <v>0</v>
      </c>
      <c r="G1237" s="181">
        <f t="shared" si="196"/>
        <v>217</v>
      </c>
      <c r="H1237" s="181">
        <f t="shared" si="196"/>
        <v>100</v>
      </c>
    </row>
    <row r="1238" s="181" customFormat="true" hidden="true" spans="1:8">
      <c r="A1238" s="382">
        <v>22902</v>
      </c>
      <c r="B1238" s="417" t="s">
        <v>1277</v>
      </c>
      <c r="C1238" s="198"/>
      <c r="D1238" s="380">
        <f t="shared" si="193"/>
        <v>0</v>
      </c>
      <c r="E1238" s="395"/>
      <c r="F1238" s="396"/>
      <c r="G1238" s="404"/>
      <c r="H1238" s="404"/>
    </row>
    <row r="1239" s="181" customFormat="true" spans="1:8">
      <c r="A1239" s="382">
        <v>22999</v>
      </c>
      <c r="B1239" s="417" t="s">
        <v>1141</v>
      </c>
      <c r="C1239" s="198"/>
      <c r="D1239" s="380">
        <f t="shared" si="193"/>
        <v>317</v>
      </c>
      <c r="E1239" s="395"/>
      <c r="F1239" s="396"/>
      <c r="G1239" s="404">
        <v>217</v>
      </c>
      <c r="H1239" s="404">
        <v>100</v>
      </c>
    </row>
    <row r="1240" s="362" customFormat="true" spans="1:8">
      <c r="A1240" s="373">
        <v>232</v>
      </c>
      <c r="B1240" s="425" t="s">
        <v>1278</v>
      </c>
      <c r="C1240" s="375">
        <f t="shared" ref="C1240:H1240" si="197">SUM(C1241)</f>
        <v>18688</v>
      </c>
      <c r="D1240" s="376">
        <f t="shared" si="193"/>
        <v>20980</v>
      </c>
      <c r="E1240" s="224">
        <f>(D1240/C1240-1)</f>
        <v>0.122645547945206</v>
      </c>
      <c r="F1240" s="415">
        <f t="shared" si="197"/>
        <v>20980</v>
      </c>
      <c r="G1240" s="362">
        <f t="shared" si="197"/>
        <v>0</v>
      </c>
      <c r="H1240" s="362">
        <f t="shared" si="197"/>
        <v>0</v>
      </c>
    </row>
    <row r="1241" s="360" customFormat="true" spans="1:8">
      <c r="A1241" s="377">
        <v>23203</v>
      </c>
      <c r="B1241" s="424" t="s">
        <v>1279</v>
      </c>
      <c r="C1241" s="379">
        <f t="shared" ref="C1241:H1241" si="198">SUM(C1242:C1245)</f>
        <v>18688</v>
      </c>
      <c r="D1241" s="380">
        <f t="shared" si="193"/>
        <v>20980</v>
      </c>
      <c r="E1241" s="224">
        <f>(D1241/C1241-1)</f>
        <v>0.122645547945206</v>
      </c>
      <c r="F1241" s="397">
        <f t="shared" si="198"/>
        <v>20980</v>
      </c>
      <c r="G1241" s="402">
        <f t="shared" si="198"/>
        <v>0</v>
      </c>
      <c r="H1241" s="402">
        <f t="shared" si="198"/>
        <v>0</v>
      </c>
    </row>
    <row r="1242" s="360" customFormat="true" spans="1:6">
      <c r="A1242" s="377">
        <v>2320301</v>
      </c>
      <c r="B1242" s="424" t="s">
        <v>1280</v>
      </c>
      <c r="C1242" s="381">
        <v>18688</v>
      </c>
      <c r="D1242" s="380">
        <f t="shared" si="193"/>
        <v>20980</v>
      </c>
      <c r="E1242" s="224">
        <f>(D1242/C1242-1)</f>
        <v>0.122645547945206</v>
      </c>
      <c r="F1242" s="380">
        <v>20980</v>
      </c>
    </row>
    <row r="1243" s="181" customFormat="true" hidden="true" spans="1:6">
      <c r="A1243" s="382">
        <v>2320302</v>
      </c>
      <c r="B1243" s="426" t="s">
        <v>1281</v>
      </c>
      <c r="C1243" s="198"/>
      <c r="D1243" s="380">
        <f t="shared" si="193"/>
        <v>0</v>
      </c>
      <c r="E1243" s="395"/>
      <c r="F1243" s="396"/>
    </row>
    <row r="1244" s="181" customFormat="true" hidden="true" spans="1:6">
      <c r="A1244" s="382">
        <v>2320303</v>
      </c>
      <c r="B1244" s="426" t="s">
        <v>1282</v>
      </c>
      <c r="C1244" s="198"/>
      <c r="D1244" s="380">
        <f t="shared" si="193"/>
        <v>0</v>
      </c>
      <c r="E1244" s="395"/>
      <c r="F1244" s="396"/>
    </row>
    <row r="1245" s="181" customFormat="true" hidden="true" spans="1:6">
      <c r="A1245" s="382">
        <v>2320399</v>
      </c>
      <c r="B1245" s="426" t="s">
        <v>1283</v>
      </c>
      <c r="C1245" s="198"/>
      <c r="D1245" s="380">
        <f t="shared" si="193"/>
        <v>0</v>
      </c>
      <c r="E1245" s="395"/>
      <c r="F1245" s="396"/>
    </row>
    <row r="1246" s="181" customFormat="true" hidden="true" spans="1:8">
      <c r="A1246" s="382">
        <v>233</v>
      </c>
      <c r="B1246" s="439" t="s">
        <v>1284</v>
      </c>
      <c r="C1246" s="436">
        <f t="shared" ref="C1246:H1246" si="199">SUM(C1247)</f>
        <v>0</v>
      </c>
      <c r="D1246" s="380">
        <f t="shared" si="193"/>
        <v>0</v>
      </c>
      <c r="E1246" s="395"/>
      <c r="F1246" s="437">
        <f t="shared" si="199"/>
        <v>0</v>
      </c>
      <c r="G1246" s="181">
        <f t="shared" si="199"/>
        <v>0</v>
      </c>
      <c r="H1246" s="181">
        <f t="shared" si="199"/>
        <v>0</v>
      </c>
    </row>
    <row r="1247" s="181" customFormat="true" hidden="true" spans="1:8">
      <c r="A1247" s="382">
        <v>23303</v>
      </c>
      <c r="B1247" s="417" t="s">
        <v>1285</v>
      </c>
      <c r="C1247" s="430"/>
      <c r="D1247" s="380">
        <f t="shared" si="193"/>
        <v>0</v>
      </c>
      <c r="E1247" s="395"/>
      <c r="F1247" s="432"/>
      <c r="G1247" s="404"/>
      <c r="H1247" s="404"/>
    </row>
    <row r="1248" s="181" customFormat="true" hidden="true" spans="1:6">
      <c r="A1248" s="382"/>
      <c r="B1248" s="385"/>
      <c r="C1248" s="198"/>
      <c r="D1248" s="380">
        <f t="shared" si="193"/>
        <v>0</v>
      </c>
      <c r="E1248" s="395"/>
      <c r="F1248" s="396"/>
    </row>
    <row r="1249" s="181" customFormat="true" hidden="true" spans="1:6">
      <c r="A1249" s="382"/>
      <c r="B1249" s="385"/>
      <c r="C1249" s="198"/>
      <c r="D1249" s="380">
        <f t="shared" si="193"/>
        <v>0</v>
      </c>
      <c r="E1249" s="395"/>
      <c r="F1249" s="396"/>
    </row>
    <row r="1250" spans="1:9">
      <c r="A1250" s="373"/>
      <c r="B1250" s="440" t="s">
        <v>204</v>
      </c>
      <c r="C1250" s="375">
        <f t="shared" ref="C1250:H1250" si="200">SUM(C1246,C1240,C1237,C1236,C1188,C1144,C1124,C1080,C1070,C1040,C1020,C956,C898,C791,C772,C700,C629,C503,C446,C390,C339,C249,C239,C235,C6)</f>
        <v>379154</v>
      </c>
      <c r="D1250" s="415">
        <f t="shared" si="200"/>
        <v>503668</v>
      </c>
      <c r="E1250" s="224">
        <f>(D1250/C1250-1)</f>
        <v>0.328399542138551</v>
      </c>
      <c r="F1250" s="397">
        <f t="shared" si="200"/>
        <v>215035</v>
      </c>
      <c r="G1250" s="360">
        <f t="shared" si="200"/>
        <v>213603</v>
      </c>
      <c r="H1250" s="360">
        <f t="shared" si="200"/>
        <v>75030</v>
      </c>
      <c r="I1250" s="360">
        <f>D1250+G1250+H1250</f>
        <v>792301</v>
      </c>
    </row>
    <row r="1251" hidden="true" spans="9:9">
      <c r="I1251" s="360">
        <v>459445</v>
      </c>
    </row>
    <row r="1252" hidden="true" spans="9:9">
      <c r="I1252" s="360">
        <f>I1251-I1250</f>
        <v>-332856</v>
      </c>
    </row>
  </sheetData>
  <autoFilter ref="A5:L1252">
    <filterColumn colId="3">
      <filters>
        <filter val="100"/>
        <filter val="1500"/>
        <filter val="1900"/>
        <filter val="3100"/>
        <filter val="1"/>
        <filter val="2"/>
        <filter val="3"/>
        <filter val="4"/>
        <filter val="104"/>
        <filter val="1904"/>
        <filter val="5"/>
        <filter val="105"/>
        <filter val="15505"/>
        <filter val="6"/>
        <filter val="507"/>
        <filter val="108"/>
        <filter val="9"/>
        <filter val="110"/>
        <filter val="910"/>
        <filter val="113"/>
        <filter val="115"/>
        <filter val="1916"/>
        <filter val="119"/>
        <filter val="519"/>
        <filter val="123"/>
        <filter val="524"/>
        <filter val="7124"/>
        <filter val="1530"/>
        <filter val="934"/>
        <filter val="135"/>
        <filter val="136"/>
        <filter val="137"/>
        <filter val="15137"/>
        <filter val="138"/>
        <filter val="139"/>
        <filter val="1139"/>
        <filter val="142"/>
        <filter val="146"/>
        <filter val="946"/>
        <filter val="547"/>
        <filter val="149"/>
        <filter val="150"/>
        <filter val="6152"/>
        <filter val="153"/>
        <filter val="2554"/>
        <filter val="155"/>
        <filter val="156"/>
        <filter val="160"/>
        <filter val="161"/>
        <filter val="1161"/>
        <filter val="163"/>
        <filter val="5163"/>
        <filter val="165"/>
        <filter val="1565"/>
        <filter val="566"/>
        <filter val="167"/>
        <filter val="169"/>
        <filter val="5571"/>
        <filter val="174"/>
        <filter val="5974"/>
        <filter val="975"/>
        <filter val="4175"/>
        <filter val="177"/>
        <filter val="54977"/>
        <filter val="178"/>
        <filter val="20980"/>
        <filter val="181"/>
        <filter val="182"/>
        <filter val="1582"/>
        <filter val="1583"/>
        <filter val="19583"/>
        <filter val="184"/>
        <filter val="585"/>
        <filter val="14185"/>
        <filter val="986"/>
        <filter val="190"/>
        <filter val="19590"/>
        <filter val="192"/>
        <filter val="4193"/>
        <filter val="194"/>
        <filter val="195"/>
        <filter val="196"/>
        <filter val="596"/>
        <filter val="996"/>
        <filter val="597"/>
        <filter val="199"/>
        <filter val="200"/>
        <filter val="2201"/>
        <filter val="604"/>
        <filter val="605"/>
        <filter val="207"/>
        <filter val="1208"/>
        <filter val="10208"/>
        <filter val="209"/>
        <filter val="2209"/>
        <filter val="610"/>
        <filter val="214"/>
        <filter val="2215"/>
        <filter val="616"/>
        <filter val="217"/>
        <filter val="619"/>
        <filter val="621"/>
        <filter val="223"/>
        <filter val="1223"/>
        <filter val="228"/>
        <filter val="628"/>
        <filter val="629"/>
        <filter val="1230"/>
        <filter val="2230"/>
        <filter val="7630"/>
        <filter val="233"/>
        <filter val="1233"/>
        <filter val="234"/>
        <filter val="235"/>
        <filter val="239"/>
        <filter val="241"/>
        <filter val="642"/>
        <filter val="103642"/>
        <filter val="243"/>
        <filter val="643"/>
        <filter val="9244"/>
        <filter val="246"/>
        <filter val="249"/>
        <filter val="2251"/>
        <filter val="258"/>
        <filter val="2258"/>
        <filter val="68658"/>
        <filter val="260"/>
        <filter val="660"/>
        <filter val="19663"/>
        <filter val="20664"/>
        <filter val="267"/>
        <filter val="667"/>
        <filter val="2268"/>
        <filter val="269"/>
        <filter val="2669"/>
        <filter val="271"/>
        <filter val="272"/>
        <filter val="1272"/>
        <filter val="275"/>
        <filter val="1277"/>
        <filter val="1284"/>
        <filter val="6684"/>
        <filter val="289"/>
        <filter val="291"/>
        <filter val="293"/>
        <filter val="3293"/>
        <filter val="294"/>
        <filter val="2294"/>
        <filter val="298"/>
        <filter val="299"/>
        <filter val="300"/>
        <filter val="4700"/>
        <filter val="301"/>
        <filter val="303"/>
        <filter val="703"/>
        <filter val="36305"/>
        <filter val="37305"/>
        <filter val="5708"/>
        <filter val="310"/>
        <filter val="6310"/>
        <filter val="6711"/>
        <filter val="312"/>
        <filter val="1314"/>
        <filter val="317"/>
        <filter val="318"/>
        <filter val="320"/>
        <filter val="1320"/>
        <filter val="1720"/>
        <filter val="321"/>
        <filter val="7722"/>
        <filter val="724"/>
        <filter val="503,668.00"/>
        <filter val="331"/>
        <filter val="335"/>
        <filter val="3736"/>
        <filter val="8738"/>
        <filter val="1740"/>
        <filter val="342"/>
        <filter val="346"/>
        <filter val="8751"/>
        <filter val="3752"/>
        <filter val="354"/>
        <filter val="45356"/>
        <filter val="359"/>
        <filter val="20362"/>
        <filter val="363"/>
        <filter val="364"/>
        <filter val="764"/>
        <filter val="117764"/>
        <filter val="365"/>
        <filter val="2365"/>
        <filter val="770"/>
        <filter val="771"/>
        <filter val="372"/>
        <filter val="778"/>
        <filter val="30382"/>
        <filter val="384"/>
        <filter val="3384"/>
        <filter val="387"/>
        <filter val="2787"/>
        <filter val="3788"/>
        <filter val="792"/>
        <filter val="7795"/>
        <filter val="1798"/>
        <filter val="1399"/>
        <filter val="2000"/>
        <filter val="101800"/>
        <filter val="401"/>
        <filter val="402"/>
        <filter val="3802"/>
        <filter val="1804"/>
        <filter val="10004"/>
        <filter val="32004"/>
        <filter val="406"/>
        <filter val="18007"/>
        <filter val="10"/>
        <filter val="11"/>
        <filter val="12"/>
        <filter val="814"/>
        <filter val="15"/>
        <filter val="16"/>
        <filter val="17"/>
        <filter val="4817"/>
        <filter val="18"/>
        <filter val="1418"/>
        <filter val="19"/>
        <filter val="419"/>
        <filter val="2019"/>
        <filter val="20"/>
        <filter val="21"/>
        <filter val="2021"/>
        <filter val="422"/>
        <filter val="23"/>
        <filter val="24"/>
        <filter val="25"/>
        <filter val="425"/>
        <filter val="6025"/>
        <filter val="26"/>
        <filter val="27"/>
        <filter val="2027"/>
        <filter val="28"/>
        <filter val="32"/>
        <filter val="432"/>
        <filter val="33"/>
        <filter val="34"/>
        <filter val="434"/>
        <filter val="435"/>
        <filter val="36"/>
        <filter val="39"/>
        <filter val="1039"/>
        <filter val="40"/>
        <filter val="3040"/>
        <filter val="42"/>
        <filter val="442"/>
        <filter val="43"/>
        <filter val="444"/>
        <filter val="1844"/>
        <filter val="45"/>
        <filter val="9846"/>
        <filter val="847"/>
        <filter val="5447"/>
        <filter val="849"/>
        <filter val="50"/>
        <filter val="56"/>
        <filter val="8856"/>
        <filter val="57"/>
        <filter val="58"/>
        <filter val="60"/>
        <filter val="460"/>
        <filter val="61"/>
        <filter val="5861"/>
        <filter val="1462"/>
        <filter val="463"/>
        <filter val="65"/>
        <filter val="1466"/>
        <filter val="67"/>
        <filter val="68"/>
        <filter val="1068"/>
        <filter val="1871"/>
        <filter val="72"/>
        <filter val="73"/>
        <filter val="1073"/>
        <filter val="1873"/>
        <filter val="475"/>
        <filter val="7075"/>
        <filter val="1077"/>
        <filter val="20477"/>
        <filter val="78"/>
        <filter val="880"/>
        <filter val="1081"/>
        <filter val="2481"/>
        <filter val="82"/>
        <filter val="83"/>
        <filter val="84"/>
        <filter val="86"/>
        <filter val="487"/>
        <filter val="88"/>
        <filter val="488"/>
        <filter val="2489"/>
        <filter val="91"/>
        <filter val="92"/>
        <filter val="93"/>
        <filter val="96"/>
        <filter val="496"/>
        <filter val="97"/>
        <filter val="2897"/>
        <filter val="98"/>
        <filter val="99"/>
        <filter val="2899"/>
      </filters>
    </filterColumn>
    <extLst/>
  </autoFilter>
  <mergeCells count="4">
    <mergeCell ref="A2:E2"/>
    <mergeCell ref="A4:B4"/>
    <mergeCell ref="D4:E4"/>
    <mergeCell ref="C4:C5"/>
  </mergeCells>
  <printOptions horizontalCentered="true"/>
  <pageMargins left="0.314583333333333" right="0.314583333333333" top="0.354166666666667" bottom="0.354166666666667" header="0.314583333333333" footer="0.314583333333333"/>
  <pageSetup paperSize="9" scale="95"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22"/>
  <sheetViews>
    <sheetView showGridLines="0" showZeros="0" zoomScale="115" zoomScaleNormal="115" workbookViewId="0">
      <pane ySplit="6" topLeftCell="A11" activePane="bottomLeft" state="frozen"/>
      <selection/>
      <selection pane="bottomLeft" activeCell="A2" sqref="A2:H2"/>
    </sheetView>
  </sheetViews>
  <sheetFormatPr defaultColWidth="9" defaultRowHeight="13.5" outlineLevelCol="7"/>
  <cols>
    <col min="1" max="1" width="49.25" style="323" customWidth="true"/>
    <col min="2" max="3" width="10.5" style="323" customWidth="true"/>
    <col min="4" max="4" width="10.5" style="324" customWidth="true"/>
    <col min="5" max="5" width="49.25" style="323" customWidth="true"/>
    <col min="6" max="7" width="10.125" style="323" customWidth="true"/>
    <col min="8" max="8" width="10.125" style="324" customWidth="true"/>
    <col min="9" max="16384" width="9" style="323"/>
  </cols>
  <sheetData>
    <row r="1" ht="18" customHeight="true" spans="1:3">
      <c r="A1" s="325" t="s">
        <v>1286</v>
      </c>
      <c r="B1" s="325"/>
      <c r="C1" s="325"/>
    </row>
    <row r="2" s="320" customFormat="true" ht="22.5" spans="1:8">
      <c r="A2" s="326" t="s">
        <v>1287</v>
      </c>
      <c r="B2" s="326"/>
      <c r="C2" s="326"/>
      <c r="D2" s="327"/>
      <c r="E2" s="326"/>
      <c r="F2" s="326"/>
      <c r="G2" s="326"/>
      <c r="H2" s="327"/>
    </row>
    <row r="3" ht="20.25" customHeight="true" spans="8:8">
      <c r="H3" s="324" t="s">
        <v>3</v>
      </c>
    </row>
    <row r="4" ht="31.5" customHeight="true" spans="1:8">
      <c r="A4" s="328" t="s">
        <v>1288</v>
      </c>
      <c r="B4" s="329"/>
      <c r="C4" s="329"/>
      <c r="D4" s="330"/>
      <c r="E4" s="340" t="s">
        <v>1289</v>
      </c>
      <c r="F4" s="340"/>
      <c r="G4" s="340"/>
      <c r="H4" s="341"/>
    </row>
    <row r="5" ht="21.95" customHeight="true" spans="1:8">
      <c r="A5" s="331" t="s">
        <v>264</v>
      </c>
      <c r="B5" s="189" t="s">
        <v>265</v>
      </c>
      <c r="C5" s="211" t="s">
        <v>267</v>
      </c>
      <c r="D5" s="212"/>
      <c r="E5" s="340" t="s">
        <v>264</v>
      </c>
      <c r="F5" s="189" t="s">
        <v>265</v>
      </c>
      <c r="G5" s="211" t="s">
        <v>267</v>
      </c>
      <c r="H5" s="212"/>
    </row>
    <row r="6" ht="46" customHeight="true" spans="1:8">
      <c r="A6" s="332"/>
      <c r="B6" s="191"/>
      <c r="C6" s="211" t="s">
        <v>270</v>
      </c>
      <c r="D6" s="213" t="s">
        <v>271</v>
      </c>
      <c r="E6" s="340"/>
      <c r="F6" s="191"/>
      <c r="G6" s="211" t="s">
        <v>270</v>
      </c>
      <c r="H6" s="213" t="s">
        <v>271</v>
      </c>
    </row>
    <row r="7" ht="20" customHeight="true" spans="1:8">
      <c r="A7" s="333" t="s">
        <v>75</v>
      </c>
      <c r="B7" s="334">
        <v>49500</v>
      </c>
      <c r="C7" s="334">
        <v>57200</v>
      </c>
      <c r="D7" s="224">
        <f t="shared" ref="D7:D11" si="0">(C7/B7-1)</f>
        <v>0.155555555555555</v>
      </c>
      <c r="E7" s="333" t="s">
        <v>76</v>
      </c>
      <c r="F7" s="334">
        <f>258392+120762-140</f>
        <v>379014</v>
      </c>
      <c r="G7" s="334">
        <f>'表14-2'!D1250</f>
        <v>503668</v>
      </c>
      <c r="H7" s="224">
        <f t="shared" ref="H7:H9" si="1">(G7/F7-1)</f>
        <v>0.328890225690872</v>
      </c>
    </row>
    <row r="8" ht="20" customHeight="true" spans="1:8">
      <c r="A8" s="335" t="s">
        <v>77</v>
      </c>
      <c r="B8" s="334">
        <f>B9+B81+B84+B85+B89+B91+B92</f>
        <v>330904</v>
      </c>
      <c r="C8" s="334">
        <f>C9+C81+C84+C85+C89+C91+C92</f>
        <v>477766</v>
      </c>
      <c r="D8" s="224">
        <f t="shared" si="0"/>
        <v>0.443820564272417</v>
      </c>
      <c r="E8" s="335" t="s">
        <v>78</v>
      </c>
      <c r="F8" s="334">
        <f>F9+F85+F86+F87+F88+F89+F90+F91+F96+F97+F98</f>
        <v>1390</v>
      </c>
      <c r="G8" s="334">
        <f>G9+G85+G86+G87+G88+G89+G90+G91+G96+G97+G98</f>
        <v>31298</v>
      </c>
      <c r="H8" s="224">
        <f t="shared" si="1"/>
        <v>21.5165467625899</v>
      </c>
    </row>
    <row r="9" ht="20" customHeight="true" spans="1:8">
      <c r="A9" s="336" t="s">
        <v>79</v>
      </c>
      <c r="B9" s="334">
        <f>B10+B17+B56</f>
        <v>284944</v>
      </c>
      <c r="C9" s="334">
        <f>C10+C17+C56</f>
        <v>373501</v>
      </c>
      <c r="D9" s="224">
        <f t="shared" si="0"/>
        <v>0.310787382783986</v>
      </c>
      <c r="E9" s="336" t="s">
        <v>80</v>
      </c>
      <c r="F9" s="342">
        <f>SUM(F10:F11)</f>
        <v>940</v>
      </c>
      <c r="G9" s="342">
        <f>SUM(G10:G11)</f>
        <v>855</v>
      </c>
      <c r="H9" s="224">
        <f t="shared" si="1"/>
        <v>-0.0904255319148937</v>
      </c>
    </row>
    <row r="10" ht="20" customHeight="true" spans="1:8">
      <c r="A10" s="336" t="s">
        <v>81</v>
      </c>
      <c r="B10" s="334">
        <f>SUM(B11:B16)</f>
        <v>19561</v>
      </c>
      <c r="C10" s="334">
        <f>SUM(C11:C16)</f>
        <v>19561</v>
      </c>
      <c r="D10" s="224">
        <f t="shared" si="0"/>
        <v>0</v>
      </c>
      <c r="E10" s="343" t="s">
        <v>82</v>
      </c>
      <c r="F10" s="344"/>
      <c r="G10" s="344"/>
      <c r="H10" s="220">
        <v>0</v>
      </c>
    </row>
    <row r="11" ht="20" customHeight="true" spans="1:8">
      <c r="A11" s="216" t="s">
        <v>83</v>
      </c>
      <c r="B11" s="337">
        <v>53</v>
      </c>
      <c r="C11" s="337">
        <v>53</v>
      </c>
      <c r="D11" s="220">
        <f t="shared" si="0"/>
        <v>0</v>
      </c>
      <c r="E11" s="343" t="s">
        <v>84</v>
      </c>
      <c r="F11" s="344">
        <v>940</v>
      </c>
      <c r="G11" s="344">
        <v>855</v>
      </c>
      <c r="H11" s="220">
        <f>(G11/F11-1)</f>
        <v>-0.0904255319148937</v>
      </c>
    </row>
    <row r="12" ht="20" customHeight="true" spans="1:8">
      <c r="A12" s="216" t="s">
        <v>85</v>
      </c>
      <c r="B12" s="337"/>
      <c r="C12" s="337"/>
      <c r="D12" s="220">
        <v>0</v>
      </c>
      <c r="E12" s="343"/>
      <c r="F12" s="343"/>
      <c r="G12" s="343"/>
      <c r="H12" s="345"/>
    </row>
    <row r="13" ht="20" customHeight="true" spans="1:8">
      <c r="A13" s="216" t="s">
        <v>86</v>
      </c>
      <c r="B13" s="337">
        <v>4</v>
      </c>
      <c r="C13" s="337">
        <v>4</v>
      </c>
      <c r="D13" s="220">
        <f t="shared" ref="D13:D19" si="2">(C13/B13-1)</f>
        <v>0</v>
      </c>
      <c r="E13" s="343" t="s">
        <v>87</v>
      </c>
      <c r="F13" s="343"/>
      <c r="G13" s="343"/>
      <c r="H13" s="345"/>
    </row>
    <row r="14" ht="20" customHeight="true" spans="1:8">
      <c r="A14" s="216" t="s">
        <v>88</v>
      </c>
      <c r="B14" s="337"/>
      <c r="C14" s="337"/>
      <c r="D14" s="220">
        <v>0</v>
      </c>
      <c r="E14" s="343" t="s">
        <v>87</v>
      </c>
      <c r="F14" s="343"/>
      <c r="G14" s="343"/>
      <c r="H14" s="345"/>
    </row>
    <row r="15" ht="20" customHeight="true" spans="1:8">
      <c r="A15" s="216" t="s">
        <v>89</v>
      </c>
      <c r="B15" s="337">
        <v>19504</v>
      </c>
      <c r="C15" s="337">
        <v>19504</v>
      </c>
      <c r="D15" s="220">
        <f t="shared" si="2"/>
        <v>0</v>
      </c>
      <c r="E15" s="343" t="s">
        <v>87</v>
      </c>
      <c r="F15" s="343"/>
      <c r="G15" s="343"/>
      <c r="H15" s="345"/>
    </row>
    <row r="16" ht="20" customHeight="true" spans="1:8">
      <c r="A16" s="216" t="s">
        <v>90</v>
      </c>
      <c r="B16" s="337"/>
      <c r="C16" s="337"/>
      <c r="D16" s="220">
        <v>0</v>
      </c>
      <c r="E16" s="343" t="s">
        <v>87</v>
      </c>
      <c r="F16" s="343"/>
      <c r="G16" s="343"/>
      <c r="H16" s="345"/>
    </row>
    <row r="17" ht="20" customHeight="true" spans="1:8">
      <c r="A17" s="335" t="s">
        <v>91</v>
      </c>
      <c r="B17" s="334">
        <f>SUM(B18:B55)</f>
        <v>239101</v>
      </c>
      <c r="C17" s="334">
        <f>SUM(C18:C55)</f>
        <v>248820</v>
      </c>
      <c r="D17" s="224">
        <f t="shared" si="2"/>
        <v>0.0406480943199736</v>
      </c>
      <c r="E17" s="343" t="s">
        <v>87</v>
      </c>
      <c r="F17" s="343"/>
      <c r="G17" s="343"/>
      <c r="H17" s="345" t="s">
        <v>87</v>
      </c>
    </row>
    <row r="18" ht="20" customHeight="true" spans="1:8">
      <c r="A18" s="216" t="s">
        <v>92</v>
      </c>
      <c r="B18" s="337">
        <v>2197</v>
      </c>
      <c r="C18" s="337">
        <v>2507</v>
      </c>
      <c r="D18" s="220">
        <f t="shared" si="2"/>
        <v>0.141101502048248</v>
      </c>
      <c r="E18" s="343" t="s">
        <v>87</v>
      </c>
      <c r="F18" s="343"/>
      <c r="G18" s="343"/>
      <c r="H18" s="345"/>
    </row>
    <row r="19" ht="20" customHeight="true" spans="1:8">
      <c r="A19" s="338" t="s">
        <v>93</v>
      </c>
      <c r="B19" s="337">
        <v>125130</v>
      </c>
      <c r="C19" s="337">
        <v>126919</v>
      </c>
      <c r="D19" s="220">
        <f t="shared" si="2"/>
        <v>0.0142971309837769</v>
      </c>
      <c r="E19" s="343" t="s">
        <v>87</v>
      </c>
      <c r="F19" s="343"/>
      <c r="G19" s="343"/>
      <c r="H19" s="345"/>
    </row>
    <row r="20" ht="20" customHeight="true" spans="1:8">
      <c r="A20" s="337" t="s">
        <v>94</v>
      </c>
      <c r="B20" s="337"/>
      <c r="C20" s="337"/>
      <c r="D20" s="220">
        <v>0</v>
      </c>
      <c r="E20" s="343" t="s">
        <v>87</v>
      </c>
      <c r="F20" s="343"/>
      <c r="G20" s="343"/>
      <c r="H20" s="345"/>
    </row>
    <row r="21" ht="20" customHeight="true" spans="1:8">
      <c r="A21" s="337" t="s">
        <v>95</v>
      </c>
      <c r="B21" s="337">
        <v>347</v>
      </c>
      <c r="C21" s="337">
        <v>631</v>
      </c>
      <c r="D21" s="220">
        <f t="shared" ref="D21:D26" si="3">(C21/B21-1)</f>
        <v>0.818443804034582</v>
      </c>
      <c r="E21" s="343" t="s">
        <v>87</v>
      </c>
      <c r="F21" s="343"/>
      <c r="G21" s="343"/>
      <c r="H21" s="345"/>
    </row>
    <row r="22" ht="20" customHeight="true" spans="1:8">
      <c r="A22" s="337" t="s">
        <v>96</v>
      </c>
      <c r="B22" s="337"/>
      <c r="C22" s="337"/>
      <c r="D22" s="220">
        <v>0</v>
      </c>
      <c r="E22" s="343" t="s">
        <v>87</v>
      </c>
      <c r="F22" s="343"/>
      <c r="G22" s="343"/>
      <c r="H22" s="345"/>
    </row>
    <row r="23" ht="20" customHeight="true" spans="1:8">
      <c r="A23" s="337" t="s">
        <v>97</v>
      </c>
      <c r="B23" s="337">
        <v>508</v>
      </c>
      <c r="C23" s="337">
        <v>508</v>
      </c>
      <c r="D23" s="220">
        <f t="shared" si="3"/>
        <v>0</v>
      </c>
      <c r="E23" s="343" t="s">
        <v>87</v>
      </c>
      <c r="F23" s="343"/>
      <c r="G23" s="343"/>
      <c r="H23" s="345"/>
    </row>
    <row r="24" ht="20" customHeight="true" spans="1:8">
      <c r="A24" s="337" t="s">
        <v>98</v>
      </c>
      <c r="B24" s="337"/>
      <c r="C24" s="337"/>
      <c r="D24" s="220">
        <v>0</v>
      </c>
      <c r="E24" s="337" t="s">
        <v>87</v>
      </c>
      <c r="F24" s="337"/>
      <c r="G24" s="337"/>
      <c r="H24" s="346"/>
    </row>
    <row r="25" ht="20" customHeight="true" spans="1:8">
      <c r="A25" s="337" t="s">
        <v>99</v>
      </c>
      <c r="B25" s="337">
        <v>281</v>
      </c>
      <c r="C25" s="337">
        <v>286</v>
      </c>
      <c r="D25" s="220">
        <f t="shared" si="3"/>
        <v>0.0177935943060499</v>
      </c>
      <c r="E25" s="337" t="s">
        <v>87</v>
      </c>
      <c r="F25" s="337"/>
      <c r="G25" s="337"/>
      <c r="H25" s="346"/>
    </row>
    <row r="26" ht="20" customHeight="true" spans="1:8">
      <c r="A26" s="337" t="s">
        <v>100</v>
      </c>
      <c r="B26" s="337">
        <v>8925</v>
      </c>
      <c r="C26" s="337">
        <v>9431</v>
      </c>
      <c r="D26" s="220">
        <f t="shared" si="3"/>
        <v>0.0566946778711486</v>
      </c>
      <c r="E26" s="338" t="s">
        <v>87</v>
      </c>
      <c r="F26" s="338"/>
      <c r="G26" s="338"/>
      <c r="H26" s="346"/>
    </row>
    <row r="27" ht="20" customHeight="true" spans="1:8">
      <c r="A27" s="337" t="s">
        <v>101</v>
      </c>
      <c r="B27" s="337"/>
      <c r="C27" s="337"/>
      <c r="D27" s="220">
        <v>0</v>
      </c>
      <c r="E27" s="337" t="s">
        <v>87</v>
      </c>
      <c r="F27" s="337"/>
      <c r="G27" s="337"/>
      <c r="H27" s="346"/>
    </row>
    <row r="28" ht="20" customHeight="true" spans="1:8">
      <c r="A28" s="337" t="s">
        <v>102</v>
      </c>
      <c r="B28" s="337"/>
      <c r="C28" s="337"/>
      <c r="D28" s="220">
        <v>0</v>
      </c>
      <c r="E28" s="337" t="s">
        <v>87</v>
      </c>
      <c r="F28" s="337"/>
      <c r="G28" s="337"/>
      <c r="H28" s="346"/>
    </row>
    <row r="29" ht="20" customHeight="true" spans="1:8">
      <c r="A29" s="337" t="s">
        <v>103</v>
      </c>
      <c r="B29" s="337"/>
      <c r="C29" s="337"/>
      <c r="D29" s="220">
        <v>0</v>
      </c>
      <c r="E29" s="337" t="s">
        <v>87</v>
      </c>
      <c r="F29" s="337"/>
      <c r="G29" s="337"/>
      <c r="H29" s="346"/>
    </row>
    <row r="30" ht="20" customHeight="true" spans="1:8">
      <c r="A30" s="337" t="s">
        <v>104</v>
      </c>
      <c r="B30" s="337"/>
      <c r="C30" s="337"/>
      <c r="D30" s="220">
        <v>0</v>
      </c>
      <c r="E30" s="337" t="s">
        <v>87</v>
      </c>
      <c r="F30" s="337"/>
      <c r="G30" s="337"/>
      <c r="H30" s="346"/>
    </row>
    <row r="31" ht="20" customHeight="true" spans="1:8">
      <c r="A31" s="339" t="s">
        <v>105</v>
      </c>
      <c r="B31" s="337"/>
      <c r="C31" s="337"/>
      <c r="D31" s="220">
        <v>0</v>
      </c>
      <c r="E31" s="337" t="s">
        <v>87</v>
      </c>
      <c r="F31" s="337"/>
      <c r="G31" s="337"/>
      <c r="H31" s="346"/>
    </row>
    <row r="32" ht="20" customHeight="true" spans="1:8">
      <c r="A32" s="339" t="s">
        <v>106</v>
      </c>
      <c r="B32" s="337"/>
      <c r="C32" s="337"/>
      <c r="D32" s="220">
        <v>0</v>
      </c>
      <c r="E32" s="337" t="s">
        <v>87</v>
      </c>
      <c r="F32" s="337"/>
      <c r="G32" s="337"/>
      <c r="H32" s="346"/>
    </row>
    <row r="33" ht="20" customHeight="true" spans="1:8">
      <c r="A33" s="339" t="s">
        <v>107</v>
      </c>
      <c r="B33" s="337"/>
      <c r="C33" s="337"/>
      <c r="D33" s="220">
        <v>0</v>
      </c>
      <c r="E33" s="337" t="s">
        <v>87</v>
      </c>
      <c r="F33" s="337"/>
      <c r="G33" s="337"/>
      <c r="H33" s="346"/>
    </row>
    <row r="34" ht="20" customHeight="true" spans="1:8">
      <c r="A34" s="339" t="s">
        <v>108</v>
      </c>
      <c r="B34" s="337">
        <v>6308</v>
      </c>
      <c r="C34" s="337">
        <v>869</v>
      </c>
      <c r="D34" s="220">
        <f t="shared" ref="D34:D40" si="4">(C34/B34-1)</f>
        <v>-0.862238427393786</v>
      </c>
      <c r="E34" s="337" t="s">
        <v>87</v>
      </c>
      <c r="F34" s="337"/>
      <c r="G34" s="337"/>
      <c r="H34" s="346"/>
    </row>
    <row r="35" ht="20" customHeight="true" spans="1:8">
      <c r="A35" s="339" t="s">
        <v>109</v>
      </c>
      <c r="B35" s="337">
        <v>3072</v>
      </c>
      <c r="C35" s="337">
        <v>2869</v>
      </c>
      <c r="D35" s="220">
        <f t="shared" si="4"/>
        <v>-0.0660807291666666</v>
      </c>
      <c r="E35" s="343" t="s">
        <v>87</v>
      </c>
      <c r="F35" s="343"/>
      <c r="G35" s="343"/>
      <c r="H35" s="345"/>
    </row>
    <row r="36" ht="20" customHeight="true" spans="1:8">
      <c r="A36" s="339" t="s">
        <v>110</v>
      </c>
      <c r="B36" s="337"/>
      <c r="C36" s="337">
        <v>439</v>
      </c>
      <c r="D36" s="220">
        <v>0</v>
      </c>
      <c r="E36" s="343" t="s">
        <v>87</v>
      </c>
      <c r="F36" s="343"/>
      <c r="G36" s="343"/>
      <c r="H36" s="345"/>
    </row>
    <row r="37" ht="20" customHeight="true" spans="1:8">
      <c r="A37" s="339" t="s">
        <v>111</v>
      </c>
      <c r="B37" s="337"/>
      <c r="C37" s="337">
        <v>1209</v>
      </c>
      <c r="D37" s="220">
        <v>0</v>
      </c>
      <c r="E37" s="343" t="s">
        <v>87</v>
      </c>
      <c r="F37" s="343"/>
      <c r="G37" s="343"/>
      <c r="H37" s="345"/>
    </row>
    <row r="38" ht="20" customHeight="true" spans="1:8">
      <c r="A38" s="339" t="s">
        <v>112</v>
      </c>
      <c r="B38" s="337">
        <f>3657+4010</f>
        <v>7667</v>
      </c>
      <c r="C38" s="337">
        <f>7246-440</f>
        <v>6806</v>
      </c>
      <c r="D38" s="220">
        <f t="shared" si="4"/>
        <v>-0.112299465240642</v>
      </c>
      <c r="E38" s="343" t="s">
        <v>87</v>
      </c>
      <c r="F38" s="343"/>
      <c r="G38" s="343"/>
      <c r="H38" s="345"/>
    </row>
    <row r="39" ht="20" customHeight="true" spans="1:8">
      <c r="A39" s="339" t="s">
        <v>113</v>
      </c>
      <c r="B39" s="337">
        <f>9538+54780+9980</f>
        <v>74298</v>
      </c>
      <c r="C39" s="337">
        <f>69291+20362</f>
        <v>89653</v>
      </c>
      <c r="D39" s="220">
        <f t="shared" si="4"/>
        <v>0.206667743411667</v>
      </c>
      <c r="E39" s="343" t="s">
        <v>87</v>
      </c>
      <c r="F39" s="343"/>
      <c r="G39" s="343"/>
      <c r="H39" s="345"/>
    </row>
    <row r="40" ht="20" customHeight="true" spans="1:8">
      <c r="A40" s="339" t="s">
        <v>114</v>
      </c>
      <c r="B40" s="337">
        <v>2191</v>
      </c>
      <c r="C40" s="337"/>
      <c r="D40" s="220">
        <f t="shared" si="4"/>
        <v>-1</v>
      </c>
      <c r="E40" s="343" t="s">
        <v>87</v>
      </c>
      <c r="F40" s="343"/>
      <c r="G40" s="343"/>
      <c r="H40" s="345"/>
    </row>
    <row r="41" ht="20" customHeight="true" spans="1:8">
      <c r="A41" s="339" t="s">
        <v>115</v>
      </c>
      <c r="B41" s="337"/>
      <c r="C41" s="337"/>
      <c r="D41" s="220">
        <v>0</v>
      </c>
      <c r="E41" s="343" t="s">
        <v>87</v>
      </c>
      <c r="F41" s="343"/>
      <c r="G41" s="343"/>
      <c r="H41" s="345"/>
    </row>
    <row r="42" ht="20" customHeight="true" spans="1:8">
      <c r="A42" s="339" t="s">
        <v>116</v>
      </c>
      <c r="B42" s="337">
        <v>973</v>
      </c>
      <c r="C42" s="337">
        <v>5744</v>
      </c>
      <c r="D42" s="220">
        <f>(C42/B42-1)</f>
        <v>4.90339157245632</v>
      </c>
      <c r="E42" s="343" t="s">
        <v>87</v>
      </c>
      <c r="F42" s="343"/>
      <c r="G42" s="343"/>
      <c r="H42" s="345"/>
    </row>
    <row r="43" ht="20" customHeight="true" spans="1:8">
      <c r="A43" s="339" t="s">
        <v>117</v>
      </c>
      <c r="B43" s="337">
        <v>1917</v>
      </c>
      <c r="C43" s="337">
        <v>479</v>
      </c>
      <c r="D43" s="220">
        <f>(C43/B43-1)</f>
        <v>-0.750130412102243</v>
      </c>
      <c r="E43" s="343" t="s">
        <v>87</v>
      </c>
      <c r="F43" s="343"/>
      <c r="G43" s="343"/>
      <c r="H43" s="345"/>
    </row>
    <row r="44" ht="20" customHeight="true" spans="1:8">
      <c r="A44" s="339" t="s">
        <v>118</v>
      </c>
      <c r="B44" s="337"/>
      <c r="C44" s="337"/>
      <c r="D44" s="220">
        <v>0</v>
      </c>
      <c r="E44" s="343" t="s">
        <v>87</v>
      </c>
      <c r="F44" s="343"/>
      <c r="G44" s="343"/>
      <c r="H44" s="345"/>
    </row>
    <row r="45" ht="20" customHeight="true" spans="1:8">
      <c r="A45" s="339" t="s">
        <v>119</v>
      </c>
      <c r="B45" s="337"/>
      <c r="C45" s="337"/>
      <c r="D45" s="220">
        <v>0</v>
      </c>
      <c r="E45" s="343" t="s">
        <v>87</v>
      </c>
      <c r="F45" s="343"/>
      <c r="G45" s="343"/>
      <c r="H45" s="345"/>
    </row>
    <row r="46" ht="20" customHeight="true" spans="1:8">
      <c r="A46" s="339" t="s">
        <v>120</v>
      </c>
      <c r="B46" s="337"/>
      <c r="C46" s="337"/>
      <c r="D46" s="220">
        <v>0</v>
      </c>
      <c r="E46" s="343" t="s">
        <v>87</v>
      </c>
      <c r="F46" s="343"/>
      <c r="G46" s="343"/>
      <c r="H46" s="345"/>
    </row>
    <row r="47" ht="20" customHeight="true" spans="1:8">
      <c r="A47" s="339" t="s">
        <v>121</v>
      </c>
      <c r="B47" s="337"/>
      <c r="C47" s="337"/>
      <c r="D47" s="220">
        <v>0</v>
      </c>
      <c r="E47" s="343" t="s">
        <v>87</v>
      </c>
      <c r="F47" s="343"/>
      <c r="G47" s="343"/>
      <c r="H47" s="345"/>
    </row>
    <row r="48" ht="20" customHeight="true" spans="1:8">
      <c r="A48" s="339" t="s">
        <v>122</v>
      </c>
      <c r="B48" s="337"/>
      <c r="C48" s="337">
        <v>470</v>
      </c>
      <c r="D48" s="220">
        <v>0</v>
      </c>
      <c r="E48" s="343" t="s">
        <v>87</v>
      </c>
      <c r="F48" s="343"/>
      <c r="G48" s="343"/>
      <c r="H48" s="345"/>
    </row>
    <row r="49" ht="20" customHeight="true" spans="1:8">
      <c r="A49" s="339" t="s">
        <v>123</v>
      </c>
      <c r="B49" s="337"/>
      <c r="C49" s="337"/>
      <c r="D49" s="220">
        <v>0</v>
      </c>
      <c r="E49" s="337" t="s">
        <v>87</v>
      </c>
      <c r="F49" s="337"/>
      <c r="G49" s="337"/>
      <c r="H49" s="346"/>
    </row>
    <row r="50" ht="20" customHeight="true" spans="1:8">
      <c r="A50" s="339" t="s">
        <v>124</v>
      </c>
      <c r="B50" s="337"/>
      <c r="C50" s="337"/>
      <c r="D50" s="220">
        <v>0</v>
      </c>
      <c r="E50" s="337"/>
      <c r="F50" s="337"/>
      <c r="G50" s="337"/>
      <c r="H50" s="346"/>
    </row>
    <row r="51" ht="20" customHeight="true" spans="1:8">
      <c r="A51" s="339" t="s">
        <v>125</v>
      </c>
      <c r="B51" s="337"/>
      <c r="C51" s="337"/>
      <c r="D51" s="220">
        <v>0</v>
      </c>
      <c r="E51" s="337" t="s">
        <v>87</v>
      </c>
      <c r="F51" s="337"/>
      <c r="G51" s="337"/>
      <c r="H51" s="346"/>
    </row>
    <row r="52" ht="20" customHeight="true" spans="1:8">
      <c r="A52" s="339" t="s">
        <v>1290</v>
      </c>
      <c r="B52" s="337">
        <v>4622</v>
      </c>
      <c r="C52" s="337"/>
      <c r="D52" s="220">
        <v>0</v>
      </c>
      <c r="E52" s="337"/>
      <c r="F52" s="337"/>
      <c r="G52" s="337"/>
      <c r="H52" s="346"/>
    </row>
    <row r="53" ht="20" customHeight="true" spans="1:8">
      <c r="A53" s="339" t="s">
        <v>1291</v>
      </c>
      <c r="B53" s="337">
        <v>665</v>
      </c>
      <c r="C53" s="337"/>
      <c r="D53" s="220">
        <v>0</v>
      </c>
      <c r="E53" s="337"/>
      <c r="F53" s="337"/>
      <c r="G53" s="337"/>
      <c r="H53" s="346"/>
    </row>
    <row r="54" ht="20" customHeight="true" spans="1:8">
      <c r="A54" s="339" t="s">
        <v>1292</v>
      </c>
      <c r="B54" s="337"/>
      <c r="C54" s="337"/>
      <c r="D54" s="220">
        <v>0</v>
      </c>
      <c r="E54" s="337"/>
      <c r="F54" s="337"/>
      <c r="G54" s="337"/>
      <c r="H54" s="346"/>
    </row>
    <row r="55" ht="20" customHeight="true" spans="1:8">
      <c r="A55" s="337" t="s">
        <v>126</v>
      </c>
      <c r="B55" s="337"/>
      <c r="C55" s="337"/>
      <c r="D55" s="220">
        <v>0</v>
      </c>
      <c r="E55" s="337" t="s">
        <v>87</v>
      </c>
      <c r="F55" s="337"/>
      <c r="G55" s="337"/>
      <c r="H55" s="346"/>
    </row>
    <row r="56" ht="20" customHeight="true" spans="1:8">
      <c r="A56" s="334" t="s">
        <v>127</v>
      </c>
      <c r="B56" s="334">
        <f>SUM(B57:B77)</f>
        <v>26282</v>
      </c>
      <c r="C56" s="334">
        <f>SUM(C57:C77)</f>
        <v>105120</v>
      </c>
      <c r="D56" s="224">
        <f t="shared" ref="D56:D60" si="5">(C56/B56-1)</f>
        <v>2.99969560916216</v>
      </c>
      <c r="E56" s="337" t="s">
        <v>87</v>
      </c>
      <c r="F56" s="337"/>
      <c r="G56" s="337"/>
      <c r="H56" s="346"/>
    </row>
    <row r="57" ht="20" customHeight="true" spans="1:8">
      <c r="A57" s="337" t="s">
        <v>128</v>
      </c>
      <c r="B57" s="337">
        <v>357</v>
      </c>
      <c r="C57" s="337">
        <v>353</v>
      </c>
      <c r="D57" s="220">
        <f t="shared" si="5"/>
        <v>-0.011204481792717</v>
      </c>
      <c r="E57" s="337" t="s">
        <v>87</v>
      </c>
      <c r="F57" s="337"/>
      <c r="G57" s="337"/>
      <c r="H57" s="346"/>
    </row>
    <row r="58" ht="20" customHeight="true" spans="1:8">
      <c r="A58" s="337" t="s">
        <v>129</v>
      </c>
      <c r="B58" s="337"/>
      <c r="C58" s="337"/>
      <c r="D58" s="220">
        <v>0</v>
      </c>
      <c r="E58" s="337"/>
      <c r="F58" s="337"/>
      <c r="G58" s="337"/>
      <c r="H58" s="346"/>
    </row>
    <row r="59" ht="20" customHeight="true" spans="1:8">
      <c r="A59" s="337" t="s">
        <v>130</v>
      </c>
      <c r="B59" s="337"/>
      <c r="C59" s="337"/>
      <c r="D59" s="220">
        <v>0</v>
      </c>
      <c r="E59" s="337"/>
      <c r="F59" s="337"/>
      <c r="G59" s="337"/>
      <c r="H59" s="346"/>
    </row>
    <row r="60" ht="20" customHeight="true" spans="1:8">
      <c r="A60" s="337" t="s">
        <v>131</v>
      </c>
      <c r="B60" s="337">
        <v>680</v>
      </c>
      <c r="C60" s="337">
        <v>45</v>
      </c>
      <c r="D60" s="220">
        <f t="shared" si="5"/>
        <v>-0.933823529411765</v>
      </c>
      <c r="E60" s="337"/>
      <c r="F60" s="337"/>
      <c r="G60" s="337"/>
      <c r="H60" s="345"/>
    </row>
    <row r="61" ht="20" customHeight="true" spans="1:8">
      <c r="A61" s="337" t="s">
        <v>132</v>
      </c>
      <c r="B61" s="337"/>
      <c r="C61" s="337"/>
      <c r="D61" s="220">
        <v>0</v>
      </c>
      <c r="E61" s="337"/>
      <c r="F61" s="337"/>
      <c r="G61" s="337"/>
      <c r="H61" s="345"/>
    </row>
    <row r="62" ht="20" customHeight="true" spans="1:8">
      <c r="A62" s="337" t="s">
        <v>133</v>
      </c>
      <c r="B62" s="337"/>
      <c r="C62" s="337"/>
      <c r="D62" s="220">
        <v>0</v>
      </c>
      <c r="E62" s="337"/>
      <c r="F62" s="337"/>
      <c r="G62" s="337"/>
      <c r="H62" s="345"/>
    </row>
    <row r="63" ht="20" customHeight="true" spans="1:8">
      <c r="A63" s="337" t="s">
        <v>134</v>
      </c>
      <c r="B63" s="337"/>
      <c r="C63" s="337">
        <v>1303</v>
      </c>
      <c r="D63" s="220">
        <v>0</v>
      </c>
      <c r="E63" s="337"/>
      <c r="F63" s="337"/>
      <c r="G63" s="337"/>
      <c r="H63" s="345"/>
    </row>
    <row r="64" ht="20" customHeight="true" spans="1:8">
      <c r="A64" s="337" t="s">
        <v>135</v>
      </c>
      <c r="B64" s="337"/>
      <c r="C64" s="337">
        <v>2162</v>
      </c>
      <c r="D64" s="220">
        <v>0</v>
      </c>
      <c r="E64" s="337"/>
      <c r="F64" s="337"/>
      <c r="G64" s="337"/>
      <c r="H64" s="347"/>
    </row>
    <row r="65" s="321" customFormat="true" ht="20" customHeight="true" spans="1:8">
      <c r="A65" s="337" t="s">
        <v>136</v>
      </c>
      <c r="B65" s="337"/>
      <c r="C65" s="337"/>
      <c r="D65" s="220">
        <v>0</v>
      </c>
      <c r="E65" s="337"/>
      <c r="F65" s="337"/>
      <c r="G65" s="337"/>
      <c r="H65" s="347"/>
    </row>
    <row r="66" ht="20" customHeight="true" spans="1:8">
      <c r="A66" s="337" t="s">
        <v>137</v>
      </c>
      <c r="B66" s="337">
        <v>24000</v>
      </c>
      <c r="C66" s="337"/>
      <c r="D66" s="220">
        <f>(C66/B66-1)</f>
        <v>-1</v>
      </c>
      <c r="E66" s="337"/>
      <c r="F66" s="337"/>
      <c r="G66" s="337"/>
      <c r="H66" s="346"/>
    </row>
    <row r="67" ht="20" customHeight="true" spans="1:8">
      <c r="A67" s="337" t="s">
        <v>138</v>
      </c>
      <c r="B67" s="337"/>
      <c r="C67" s="337"/>
      <c r="D67" s="220">
        <v>0</v>
      </c>
      <c r="E67" s="337"/>
      <c r="F67" s="337"/>
      <c r="G67" s="337"/>
      <c r="H67" s="346"/>
    </row>
    <row r="68" ht="20" customHeight="true" spans="1:8">
      <c r="A68" s="337" t="s">
        <v>139</v>
      </c>
      <c r="B68" s="337">
        <v>791</v>
      </c>
      <c r="C68" s="337">
        <v>1125</v>
      </c>
      <c r="D68" s="220">
        <f>(C68/B68-1)</f>
        <v>0.422250316055626</v>
      </c>
      <c r="E68" s="337"/>
      <c r="F68" s="337"/>
      <c r="G68" s="337"/>
      <c r="H68" s="346"/>
    </row>
    <row r="69" ht="20" customHeight="true" spans="1:8">
      <c r="A69" s="337" t="s">
        <v>140</v>
      </c>
      <c r="B69" s="337">
        <v>330</v>
      </c>
      <c r="C69" s="337"/>
      <c r="D69" s="220">
        <v>0</v>
      </c>
      <c r="E69" s="337"/>
      <c r="F69" s="337"/>
      <c r="G69" s="337"/>
      <c r="H69" s="346"/>
    </row>
    <row r="70" ht="20" customHeight="true" spans="1:8">
      <c r="A70" s="337" t="s">
        <v>141</v>
      </c>
      <c r="B70" s="337"/>
      <c r="C70" s="337"/>
      <c r="D70" s="220">
        <v>0</v>
      </c>
      <c r="E70" s="337"/>
      <c r="F70" s="337"/>
      <c r="G70" s="337"/>
      <c r="H70" s="346"/>
    </row>
    <row r="71" ht="20" customHeight="true" spans="1:8">
      <c r="A71" s="337" t="s">
        <v>142</v>
      </c>
      <c r="B71" s="337">
        <v>124</v>
      </c>
      <c r="C71" s="337">
        <v>132</v>
      </c>
      <c r="D71" s="220">
        <f>(C71/B71-1)</f>
        <v>0.064516129032258</v>
      </c>
      <c r="E71" s="337"/>
      <c r="F71" s="337"/>
      <c r="G71" s="337"/>
      <c r="H71" s="346"/>
    </row>
    <row r="72" ht="20" customHeight="true" spans="1:8">
      <c r="A72" s="337" t="s">
        <v>143</v>
      </c>
      <c r="B72" s="337"/>
      <c r="C72" s="337"/>
      <c r="D72" s="220">
        <v>0</v>
      </c>
      <c r="E72" s="337"/>
      <c r="F72" s="337"/>
      <c r="G72" s="337"/>
      <c r="H72" s="346"/>
    </row>
    <row r="73" ht="20" customHeight="true" spans="1:8">
      <c r="A73" s="337" t="s">
        <v>144</v>
      </c>
      <c r="B73" s="337"/>
      <c r="C73" s="337">
        <v>100000</v>
      </c>
      <c r="D73" s="220">
        <v>0</v>
      </c>
      <c r="E73" s="337"/>
      <c r="F73" s="337"/>
      <c r="G73" s="337"/>
      <c r="H73" s="346"/>
    </row>
    <row r="74" ht="20" customHeight="true" spans="1:8">
      <c r="A74" s="337" t="s">
        <v>145</v>
      </c>
      <c r="B74" s="337"/>
      <c r="C74" s="337"/>
      <c r="D74" s="220">
        <v>0</v>
      </c>
      <c r="E74" s="337"/>
      <c r="F74" s="337"/>
      <c r="G74" s="337"/>
      <c r="H74" s="346"/>
    </row>
    <row r="75" ht="20" customHeight="true" spans="1:8">
      <c r="A75" s="337" t="s">
        <v>146</v>
      </c>
      <c r="B75" s="337"/>
      <c r="C75" s="337"/>
      <c r="D75" s="220">
        <v>0</v>
      </c>
      <c r="E75" s="337"/>
      <c r="F75" s="337"/>
      <c r="G75" s="337"/>
      <c r="H75" s="346"/>
    </row>
    <row r="76" ht="20" customHeight="true" spans="1:8">
      <c r="A76" s="337" t="s">
        <v>147</v>
      </c>
      <c r="B76" s="337"/>
      <c r="C76" s="337"/>
      <c r="D76" s="220">
        <v>0</v>
      </c>
      <c r="E76" s="350"/>
      <c r="F76" s="350"/>
      <c r="G76" s="350"/>
      <c r="H76" s="346"/>
    </row>
    <row r="77" ht="20" customHeight="true" spans="1:8">
      <c r="A77" s="348" t="s">
        <v>148</v>
      </c>
      <c r="B77" s="337"/>
      <c r="C77" s="337"/>
      <c r="D77" s="220">
        <v>0</v>
      </c>
      <c r="E77" s="350"/>
      <c r="F77" s="350"/>
      <c r="G77" s="350"/>
      <c r="H77" s="346"/>
    </row>
    <row r="78" ht="20" customHeight="true" spans="1:8">
      <c r="A78" s="348"/>
      <c r="B78" s="337"/>
      <c r="C78" s="337"/>
      <c r="D78" s="220">
        <v>0</v>
      </c>
      <c r="E78" s="350"/>
      <c r="F78" s="351"/>
      <c r="G78" s="351"/>
      <c r="H78" s="352"/>
    </row>
    <row r="79" ht="20" customHeight="true" spans="1:8">
      <c r="A79" s="348"/>
      <c r="B79" s="337"/>
      <c r="C79" s="337"/>
      <c r="D79" s="220">
        <v>0</v>
      </c>
      <c r="E79" s="350"/>
      <c r="F79" s="351"/>
      <c r="G79" s="351"/>
      <c r="H79" s="352"/>
    </row>
    <row r="80" ht="20" customHeight="true" spans="1:8">
      <c r="A80" s="348"/>
      <c r="B80" s="337"/>
      <c r="C80" s="337"/>
      <c r="D80" s="220">
        <v>0</v>
      </c>
      <c r="E80" s="350"/>
      <c r="F80" s="351"/>
      <c r="G80" s="351"/>
      <c r="H80" s="352"/>
    </row>
    <row r="81" ht="20" customHeight="true" spans="1:8">
      <c r="A81" s="349" t="s">
        <v>1293</v>
      </c>
      <c r="B81" s="334"/>
      <c r="C81" s="334"/>
      <c r="D81" s="220">
        <v>0</v>
      </c>
      <c r="E81" s="350"/>
      <c r="F81" s="351"/>
      <c r="G81" s="351"/>
      <c r="H81" s="352"/>
    </row>
    <row r="82" ht="20" customHeight="true" spans="1:8">
      <c r="A82" s="349" t="s">
        <v>150</v>
      </c>
      <c r="B82" s="334"/>
      <c r="C82" s="334"/>
      <c r="D82" s="220">
        <v>0</v>
      </c>
      <c r="E82" s="350"/>
      <c r="F82" s="351"/>
      <c r="G82" s="351"/>
      <c r="H82" s="352"/>
    </row>
    <row r="83" s="322" customFormat="true" ht="20" customHeight="true" spans="1:8">
      <c r="A83" s="349" t="s">
        <v>151</v>
      </c>
      <c r="B83" s="334"/>
      <c r="C83" s="334"/>
      <c r="D83" s="224">
        <v>0</v>
      </c>
      <c r="E83" s="353"/>
      <c r="F83" s="354"/>
      <c r="G83" s="354"/>
      <c r="H83" s="355"/>
    </row>
    <row r="84" s="322" customFormat="true" ht="20" customHeight="true" spans="1:8">
      <c r="A84" s="335" t="s">
        <v>152</v>
      </c>
      <c r="B84" s="334">
        <v>45740</v>
      </c>
      <c r="C84" s="334">
        <v>75030</v>
      </c>
      <c r="D84" s="224">
        <f t="shared" ref="D84:D87" si="6">(C84/B84-1)</f>
        <v>0.640358548316572</v>
      </c>
      <c r="E84" s="353"/>
      <c r="F84" s="354"/>
      <c r="G84" s="354"/>
      <c r="H84" s="355"/>
    </row>
    <row r="85" s="322" customFormat="true" ht="20" customHeight="true" spans="1:8">
      <c r="A85" s="335" t="s">
        <v>153</v>
      </c>
      <c r="B85" s="334">
        <f>SUM(B86:B88)</f>
        <v>220</v>
      </c>
      <c r="C85" s="334">
        <f>SUM(C86:C88)</f>
        <v>235</v>
      </c>
      <c r="D85" s="224">
        <f t="shared" si="6"/>
        <v>0.0681818181818181</v>
      </c>
      <c r="E85" s="353" t="s">
        <v>154</v>
      </c>
      <c r="F85" s="354"/>
      <c r="G85" s="354"/>
      <c r="H85" s="355"/>
    </row>
    <row r="86" s="322" customFormat="true" ht="20" customHeight="true" spans="1:8">
      <c r="A86" s="335" t="s">
        <v>155</v>
      </c>
      <c r="B86" s="334"/>
      <c r="C86" s="334"/>
      <c r="D86" s="224">
        <v>0</v>
      </c>
      <c r="E86" s="336" t="s">
        <v>156</v>
      </c>
      <c r="F86" s="353"/>
      <c r="G86" s="353"/>
      <c r="H86" s="356"/>
    </row>
    <row r="87" s="322" customFormat="true" ht="20" customHeight="true" spans="1:8">
      <c r="A87" s="335" t="s">
        <v>157</v>
      </c>
      <c r="B87" s="334">
        <v>220</v>
      </c>
      <c r="C87" s="334">
        <v>235</v>
      </c>
      <c r="D87" s="224">
        <f t="shared" si="6"/>
        <v>0.0681818181818181</v>
      </c>
      <c r="E87" s="357" t="s">
        <v>158</v>
      </c>
      <c r="F87" s="334"/>
      <c r="G87" s="334"/>
      <c r="H87" s="358"/>
    </row>
    <row r="88" s="322" customFormat="true" ht="18" customHeight="true" spans="1:8">
      <c r="A88" s="335" t="s">
        <v>159</v>
      </c>
      <c r="B88" s="334"/>
      <c r="C88" s="334"/>
      <c r="D88" s="224">
        <v>0</v>
      </c>
      <c r="E88" s="357" t="s">
        <v>160</v>
      </c>
      <c r="F88" s="336"/>
      <c r="G88" s="336"/>
      <c r="H88" s="358"/>
    </row>
    <row r="89" s="322" customFormat="true" ht="20" customHeight="true" spans="1:8">
      <c r="A89" s="335" t="s">
        <v>1294</v>
      </c>
      <c r="B89" s="334"/>
      <c r="C89" s="334">
        <f>C90</f>
        <v>29000</v>
      </c>
      <c r="D89" s="224">
        <v>0</v>
      </c>
      <c r="E89" s="335" t="s">
        <v>162</v>
      </c>
      <c r="F89" s="357">
        <f>450</f>
        <v>450</v>
      </c>
      <c r="G89" s="357">
        <f>1443+29000</f>
        <v>30443</v>
      </c>
      <c r="H89" s="224">
        <f>(G89/F89-1)</f>
        <v>66.6511111111111</v>
      </c>
    </row>
    <row r="90" s="322" customFormat="true" ht="20" customHeight="true" spans="1:8">
      <c r="A90" s="335" t="s">
        <v>1295</v>
      </c>
      <c r="B90" s="334"/>
      <c r="C90" s="334">
        <v>29000</v>
      </c>
      <c r="D90" s="224">
        <v>0</v>
      </c>
      <c r="E90" s="335" t="s">
        <v>164</v>
      </c>
      <c r="F90" s="357"/>
      <c r="G90" s="357"/>
      <c r="H90" s="358"/>
    </row>
    <row r="91" ht="20" customHeight="true" spans="1:8">
      <c r="A91" s="335" t="s">
        <v>1296</v>
      </c>
      <c r="B91" s="334"/>
      <c r="C91" s="334"/>
      <c r="D91" s="220">
        <v>0</v>
      </c>
      <c r="E91" s="335" t="s">
        <v>1297</v>
      </c>
      <c r="F91" s="349"/>
      <c r="G91" s="349"/>
      <c r="H91" s="358"/>
    </row>
    <row r="92" ht="20" customHeight="true" spans="1:8">
      <c r="A92" s="335" t="s">
        <v>1298</v>
      </c>
      <c r="B92" s="334"/>
      <c r="C92" s="334"/>
      <c r="D92" s="220">
        <v>0</v>
      </c>
      <c r="E92" s="335" t="s">
        <v>1299</v>
      </c>
      <c r="F92" s="349"/>
      <c r="G92" s="349"/>
      <c r="H92" s="358"/>
    </row>
    <row r="93" ht="20" customHeight="true" spans="1:8">
      <c r="A93" s="335" t="s">
        <v>1300</v>
      </c>
      <c r="B93" s="334"/>
      <c r="C93" s="334"/>
      <c r="D93" s="220">
        <v>0</v>
      </c>
      <c r="E93" s="335" t="s">
        <v>1301</v>
      </c>
      <c r="F93" s="349"/>
      <c r="G93" s="349"/>
      <c r="H93" s="358"/>
    </row>
    <row r="94" ht="20" customHeight="true" spans="1:8">
      <c r="A94" s="335" t="s">
        <v>1302</v>
      </c>
      <c r="B94" s="334"/>
      <c r="C94" s="334"/>
      <c r="D94" s="220">
        <v>0</v>
      </c>
      <c r="E94" s="335" t="s">
        <v>1303</v>
      </c>
      <c r="F94" s="349"/>
      <c r="G94" s="349"/>
      <c r="H94" s="358"/>
    </row>
    <row r="95" ht="20" customHeight="true" spans="1:8">
      <c r="A95" s="335" t="s">
        <v>1304</v>
      </c>
      <c r="B95" s="334"/>
      <c r="C95" s="334"/>
      <c r="D95" s="220">
        <v>0</v>
      </c>
      <c r="E95" s="335" t="s">
        <v>1305</v>
      </c>
      <c r="F95" s="349"/>
      <c r="G95" s="349"/>
      <c r="H95" s="358"/>
    </row>
    <row r="96" ht="20" customHeight="true" spans="1:8">
      <c r="A96" s="335" t="s">
        <v>1306</v>
      </c>
      <c r="B96" s="334"/>
      <c r="C96" s="334"/>
      <c r="D96" s="220">
        <v>0</v>
      </c>
      <c r="E96" s="349" t="s">
        <v>1307</v>
      </c>
      <c r="F96" s="335"/>
      <c r="G96" s="335"/>
      <c r="H96" s="358"/>
    </row>
    <row r="97" ht="20" customHeight="true" spans="1:8">
      <c r="A97" s="348"/>
      <c r="B97" s="337"/>
      <c r="C97" s="337"/>
      <c r="D97" s="220">
        <v>0</v>
      </c>
      <c r="E97" s="349" t="s">
        <v>1308</v>
      </c>
      <c r="F97" s="335"/>
      <c r="G97" s="335"/>
      <c r="H97" s="358"/>
    </row>
    <row r="98" ht="20" customHeight="true" spans="1:8">
      <c r="A98" s="348"/>
      <c r="B98" s="337"/>
      <c r="C98" s="337"/>
      <c r="D98" s="220">
        <v>0</v>
      </c>
      <c r="E98" s="336" t="s">
        <v>1309</v>
      </c>
      <c r="F98" s="335"/>
      <c r="G98" s="335"/>
      <c r="H98" s="358"/>
    </row>
    <row r="99" ht="20" customHeight="true" spans="1:8">
      <c r="A99" s="348"/>
      <c r="B99" s="337"/>
      <c r="C99" s="337"/>
      <c r="D99" s="220">
        <v>0</v>
      </c>
      <c r="E99" s="343"/>
      <c r="F99" s="216"/>
      <c r="G99" s="216"/>
      <c r="H99" s="346"/>
    </row>
    <row r="100" ht="20" customHeight="true" spans="1:8">
      <c r="A100" s="348"/>
      <c r="B100" s="337"/>
      <c r="C100" s="337"/>
      <c r="D100" s="220">
        <v>0</v>
      </c>
      <c r="E100" s="343"/>
      <c r="F100" s="216"/>
      <c r="G100" s="216"/>
      <c r="H100" s="346"/>
    </row>
    <row r="101" ht="20" customHeight="true" spans="1:8">
      <c r="A101" s="216"/>
      <c r="B101" s="337"/>
      <c r="C101" s="337"/>
      <c r="D101" s="220">
        <v>0</v>
      </c>
      <c r="E101" s="216"/>
      <c r="F101" s="216"/>
      <c r="G101" s="216"/>
      <c r="H101" s="346"/>
    </row>
    <row r="102" ht="20" customHeight="true" spans="1:8">
      <c r="A102" s="216"/>
      <c r="B102" s="337"/>
      <c r="C102" s="337"/>
      <c r="D102" s="220">
        <v>0</v>
      </c>
      <c r="E102" s="216"/>
      <c r="F102" s="216"/>
      <c r="G102" s="216"/>
      <c r="H102" s="346"/>
    </row>
    <row r="103" s="322" customFormat="true" ht="20" customHeight="true" spans="1:8">
      <c r="A103" s="340" t="s">
        <v>67</v>
      </c>
      <c r="B103" s="334">
        <f>B8+B7</f>
        <v>380404</v>
      </c>
      <c r="C103" s="334">
        <f>C8+C7</f>
        <v>534966</v>
      </c>
      <c r="D103" s="224">
        <f>(C103/B103-1)</f>
        <v>0.406310133437083</v>
      </c>
      <c r="E103" s="340" t="s">
        <v>68</v>
      </c>
      <c r="F103" s="334">
        <f>F7+F8</f>
        <v>380404</v>
      </c>
      <c r="G103" s="334">
        <f>G7+G8</f>
        <v>534966</v>
      </c>
      <c r="H103" s="224">
        <f>(G103/F103-1)</f>
        <v>0.406310133437083</v>
      </c>
    </row>
    <row r="104" spans="5:5">
      <c r="E104" s="359"/>
    </row>
    <row r="105" spans="5:5">
      <c r="E105" s="359"/>
    </row>
    <row r="106" spans="5:5">
      <c r="E106" s="359"/>
    </row>
    <row r="107" spans="5:5">
      <c r="E107" s="359"/>
    </row>
    <row r="108" spans="5:5">
      <c r="E108" s="359"/>
    </row>
    <row r="109" spans="5:7">
      <c r="E109" s="359"/>
      <c r="G109" s="323">
        <f>C103-G103</f>
        <v>0</v>
      </c>
    </row>
    <row r="110" spans="5:5">
      <c r="E110" s="359"/>
    </row>
    <row r="111" spans="5:5">
      <c r="E111" s="359"/>
    </row>
    <row r="112" spans="5:5">
      <c r="E112" s="359"/>
    </row>
    <row r="113" spans="5:5">
      <c r="E113" s="359"/>
    </row>
    <row r="114" spans="5:5">
      <c r="E114" s="359"/>
    </row>
    <row r="115" spans="5:5">
      <c r="E115" s="359"/>
    </row>
    <row r="116" spans="5:5">
      <c r="E116" s="359"/>
    </row>
    <row r="117" spans="5:5">
      <c r="E117" s="359"/>
    </row>
    <row r="118" spans="5:5">
      <c r="E118" s="359"/>
    </row>
    <row r="119" spans="5:5">
      <c r="E119" s="359"/>
    </row>
    <row r="120" spans="5:5">
      <c r="E120" s="359"/>
    </row>
    <row r="121" spans="5:5">
      <c r="E121" s="359"/>
    </row>
    <row r="122" spans="5:5">
      <c r="E122" s="359"/>
    </row>
  </sheetData>
  <protectedRanges>
    <protectedRange sqref="D31:D51" name="区域1"/>
  </protectedRanges>
  <mergeCells count="8">
    <mergeCell ref="A2:H2"/>
    <mergeCell ref="A4:D4"/>
    <mergeCell ref="E4:H4"/>
    <mergeCell ref="C5:D5"/>
    <mergeCell ref="G5:H5"/>
    <mergeCell ref="A5:A6"/>
    <mergeCell ref="B5:B6"/>
    <mergeCell ref="F5:F6"/>
  </mergeCells>
  <printOptions horizontalCentered="true"/>
  <pageMargins left="0.472222222222222" right="0.472222222222222" top="0.590277777777778" bottom="0.472222222222222" header="0.314583333333333" footer="0.314583333333333"/>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32</vt:i4>
      </vt:variant>
    </vt:vector>
  </HeadingPairs>
  <TitlesOfParts>
    <vt:vector size="32" baseType="lpstr">
      <vt:lpstr>封面 </vt:lpstr>
      <vt:lpstr>表6-1</vt:lpstr>
      <vt:lpstr>表6-2</vt:lpstr>
      <vt:lpstr>表7</vt:lpstr>
      <vt:lpstr>表8</vt:lpstr>
      <vt:lpstr>表9 </vt:lpstr>
      <vt:lpstr>表14-1</vt:lpstr>
      <vt:lpstr>表14-2</vt:lpstr>
      <vt:lpstr>表14-3</vt:lpstr>
      <vt:lpstr>表14-4</vt:lpstr>
      <vt:lpstr>表14-5</vt:lpstr>
      <vt:lpstr>表14-6</vt:lpstr>
      <vt:lpstr>表15-1</vt:lpstr>
      <vt:lpstr>表15-2</vt:lpstr>
      <vt:lpstr>表16</vt:lpstr>
      <vt:lpstr>表17-1</vt:lpstr>
      <vt:lpstr>表17-2</vt:lpstr>
      <vt:lpstr>表17-3</vt:lpstr>
      <vt:lpstr>表18</vt:lpstr>
      <vt:lpstr>表18-1</vt:lpstr>
      <vt:lpstr>表18-2</vt:lpstr>
      <vt:lpstr>表19</vt:lpstr>
      <vt:lpstr>表9-1</vt:lpstr>
      <vt:lpstr>表20-1</vt:lpstr>
      <vt:lpstr>表20-2</vt:lpstr>
      <vt:lpstr>表20-3</vt:lpstr>
      <vt:lpstr>表20-4 </vt:lpstr>
      <vt:lpstr>表20-5</vt:lpstr>
      <vt:lpstr>表20-6</vt:lpstr>
      <vt:lpstr>表20-7</vt:lpstr>
      <vt:lpstr>表20-8</vt:lpstr>
      <vt:lpstr>表21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lzj</cp:lastModifiedBy>
  <cp:revision>1</cp:revision>
  <dcterms:created xsi:type="dcterms:W3CDTF">2006-03-09T05:15:00Z</dcterms:created>
  <cp:lastPrinted>2020-01-10T02:44:00Z</cp:lastPrinted>
  <dcterms:modified xsi:type="dcterms:W3CDTF">2024-01-17T15:33:35Z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